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135" windowHeight="9300" firstSheet="1" activeTab="1"/>
  </bookViews>
  <sheets>
    <sheet name="SAP Values" sheetId="1" r:id="rId1"/>
    <sheet name="Recipe Worksheet" sheetId="2" r:id="rId2"/>
    <sheet name="Scaled Version" sheetId="3" r:id="rId3"/>
    <sheet name="FAQ &amp; Release Notes" sheetId="4" r:id="rId4"/>
    <sheet name="About" sheetId="5" r:id="rId5"/>
  </sheets>
  <definedNames>
    <definedName name="Alkali">'SAP Values'!IV65535:A65535</definedName>
    <definedName name="OilList">'SAP Values'!$A$3:$A$94</definedName>
    <definedName name="OilList2">'SAP Values'!$A$3:$B$94</definedName>
    <definedName name="_xlnm.Print_Area" localSheetId="1">'Recipe Worksheet'!$A$1:$L$36</definedName>
  </definedNames>
  <calcPr fullCalcOnLoad="1"/>
</workbook>
</file>

<file path=xl/sharedStrings.xml><?xml version="1.0" encoding="utf-8"?>
<sst xmlns="http://schemas.openxmlformats.org/spreadsheetml/2006/main" count="175" uniqueCount="144">
  <si>
    <t>Oil</t>
  </si>
  <si>
    <t>Sodium Hydroxide</t>
  </si>
  <si>
    <t>Potassium Hydroxide</t>
  </si>
  <si>
    <t>Almond, Sweet</t>
  </si>
  <si>
    <t>Arachis</t>
  </si>
  <si>
    <t>Avocado</t>
  </si>
  <si>
    <t>Babassu, brazil nut</t>
  </si>
  <si>
    <t>Beef Hoof</t>
  </si>
  <si>
    <t>Brazil Nut</t>
  </si>
  <si>
    <t>Butterfat, Cow</t>
  </si>
  <si>
    <t>Butterfat, Goat</t>
  </si>
  <si>
    <t>Canola</t>
  </si>
  <si>
    <t>Castor</t>
  </si>
  <si>
    <t>Chicken Fat</t>
  </si>
  <si>
    <t>Chinese Bean</t>
  </si>
  <si>
    <t>Cocoa Butter</t>
  </si>
  <si>
    <t>Coconut </t>
  </si>
  <si>
    <t>Cod-liver</t>
  </si>
  <si>
    <t>Colza</t>
  </si>
  <si>
    <t>Corn</t>
  </si>
  <si>
    <t>Cottonseed</t>
  </si>
  <si>
    <t>Earthnut</t>
  </si>
  <si>
    <t>Flaxseed</t>
  </si>
  <si>
    <t>Goose Fat</t>
  </si>
  <si>
    <t>Grapeseed</t>
  </si>
  <si>
    <t>Hazelnut</t>
  </si>
  <si>
    <t>Hemp Seed</t>
  </si>
  <si>
    <t>Java Cotton</t>
  </si>
  <si>
    <t>Jojoba</t>
  </si>
  <si>
    <t>Kapok</t>
  </si>
  <si>
    <t>Karite Butter (Shea)</t>
  </si>
  <si>
    <t>Katchung</t>
  </si>
  <si>
    <t>Kukui Nut</t>
  </si>
  <si>
    <t>Lanolin</t>
  </si>
  <si>
    <t>Lard</t>
  </si>
  <si>
    <t>Linseed</t>
  </si>
  <si>
    <t>Macadamia</t>
  </si>
  <si>
    <t>Maize</t>
  </si>
  <si>
    <t>Mango</t>
  </si>
  <si>
    <t>Mink</t>
  </si>
  <si>
    <t>Mustard</t>
  </si>
  <si>
    <t>Neat's foot</t>
  </si>
  <si>
    <t>Neem</t>
  </si>
  <si>
    <t>Nutmeg Butter</t>
  </si>
  <si>
    <t>Olive </t>
  </si>
  <si>
    <t>Palm Butter</t>
  </si>
  <si>
    <t>Palm Kernel</t>
  </si>
  <si>
    <t>Palm</t>
  </si>
  <si>
    <t>Palm, Stearic</t>
  </si>
  <si>
    <t>Peanut</t>
  </si>
  <si>
    <t>Perilla</t>
  </si>
  <si>
    <t>Poppyseed</t>
  </si>
  <si>
    <t>Pumpkinseed</t>
  </si>
  <si>
    <t>Ramic</t>
  </si>
  <si>
    <t>Rape</t>
  </si>
  <si>
    <t>Rapeseed</t>
  </si>
  <si>
    <t>Rice Bran</t>
  </si>
  <si>
    <t>Ricinus</t>
  </si>
  <si>
    <t>Safflower</t>
  </si>
  <si>
    <t>Sesame Seed</t>
  </si>
  <si>
    <t>Shea Butter</t>
  </si>
  <si>
    <t>Shortening (veg.)</t>
  </si>
  <si>
    <t>Soybean</t>
  </si>
  <si>
    <t>Sunflower Seed</t>
  </si>
  <si>
    <t>Sweet Oil</t>
  </si>
  <si>
    <t>Tallow, bear</t>
  </si>
  <si>
    <t>Tallow, beef</t>
  </si>
  <si>
    <t>Tallow, chinese vegetable</t>
  </si>
  <si>
    <t>Tallow, deer</t>
  </si>
  <si>
    <t>Tallow, goat</t>
  </si>
  <si>
    <t>Tallow, sheep</t>
  </si>
  <si>
    <t>Theobroma</t>
  </si>
  <si>
    <t>Tung</t>
  </si>
  <si>
    <t>Walnut</t>
  </si>
  <si>
    <t>Wheatgerm </t>
  </si>
  <si>
    <t>% of Oils</t>
  </si>
  <si>
    <t>SAP</t>
  </si>
  <si>
    <t>Total:</t>
  </si>
  <si>
    <t>Oils</t>
  </si>
  <si>
    <t>Lye</t>
  </si>
  <si>
    <t>Water</t>
  </si>
  <si>
    <t>Total</t>
  </si>
  <si>
    <t>After Cure (15% water)</t>
  </si>
  <si>
    <t>Total Oz</t>
  </si>
  <si>
    <t>Pounds</t>
  </si>
  <si>
    <t>Ounces</t>
  </si>
  <si>
    <t>Weight in Oz</t>
  </si>
  <si>
    <t>Lye discount:</t>
  </si>
  <si>
    <t>Notes:</t>
  </si>
  <si>
    <t>Bar Size (Oz)</t>
  </si>
  <si>
    <t>Number of Bars</t>
  </si>
  <si>
    <t>Recipe Name:</t>
  </si>
  <si>
    <t>Scale Factor:</t>
  </si>
  <si>
    <t>Fat</t>
  </si>
  <si>
    <t>Super-fatting Oil</t>
  </si>
  <si>
    <t>Total Effective Lye Discount:</t>
  </si>
  <si>
    <t>Emu</t>
  </si>
  <si>
    <t>Borage</t>
  </si>
  <si>
    <t>Beeswax</t>
  </si>
  <si>
    <t>Evening Primrose</t>
  </si>
  <si>
    <t>Avocado Butter</t>
  </si>
  <si>
    <t>Pistachio Nut</t>
  </si>
  <si>
    <t>Rose Hip Seed</t>
  </si>
  <si>
    <t>Illipe Butter</t>
  </si>
  <si>
    <t>Mango Butter</t>
  </si>
  <si>
    <t>Meadowfoam</t>
  </si>
  <si>
    <t>Apricot Kernel</t>
  </si>
  <si>
    <t>Camelina</t>
  </si>
  <si>
    <t>Kokum Butter</t>
  </si>
  <si>
    <t>Tamanu</t>
  </si>
  <si>
    <t>Camellia</t>
  </si>
  <si>
    <t>Ostrich</t>
  </si>
  <si>
    <t>INS</t>
  </si>
  <si>
    <t>kapok</t>
  </si>
  <si>
    <t>peanut</t>
  </si>
  <si>
    <t>rapeseed</t>
  </si>
  <si>
    <t>soybean</t>
  </si>
  <si>
    <t>neat's foot</t>
  </si>
  <si>
    <t>flaxseed</t>
  </si>
  <si>
    <t>Peach Kernel</t>
  </si>
  <si>
    <t>castor</t>
  </si>
  <si>
    <t>Iodine Value</t>
  </si>
  <si>
    <t>High</t>
  </si>
  <si>
    <t>Low</t>
  </si>
  <si>
    <t>Dr. Bob's INS</t>
  </si>
  <si>
    <t>Est. INS</t>
  </si>
  <si>
    <t>corn</t>
  </si>
  <si>
    <t>Candelilla Wax</t>
  </si>
  <si>
    <t>Carnauba Wax</t>
  </si>
  <si>
    <t>Sal Butter</t>
  </si>
  <si>
    <t>cocoa butter</t>
  </si>
  <si>
    <t>olive</t>
  </si>
  <si>
    <t>Other Names</t>
  </si>
  <si>
    <t>Estimated INS Value:</t>
  </si>
  <si>
    <t>Alkali:</t>
  </si>
  <si>
    <t>NaOH</t>
  </si>
  <si>
    <t>KOH</t>
  </si>
  <si>
    <t>Scale To:</t>
  </si>
  <si>
    <t>Total Weight (Oz)</t>
  </si>
  <si>
    <t>Weight After Cure (Oz)</t>
  </si>
  <si>
    <t>or</t>
  </si>
  <si>
    <t>Weight in g</t>
  </si>
  <si>
    <t>Total g</t>
  </si>
  <si>
    <t>Bar Size g</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</si>
</sst>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7">
    <font>
      <sz val="10"/>
      <name val="Arial"/>
      <family val="0"/>
    </font>
    <font>
      <b/>
      <sz val="10"/>
      <name val="Arial"/>
      <family val="0"/>
    </font>
    <font>
      <sz val="10"/>
      <name val="Times New Roman"/>
      <family val="1"/>
    </font>
    <font>
      <b/>
      <sz val="10"/>
      <name val="Times New Roman"/>
      <family val="1"/>
    </font>
    <font>
      <sz val="10"/>
      <color indexed="9"/>
      <name val="Times New Roman"/>
      <family val="1"/>
    </font>
    <font>
      <sz val="10"/>
      <name val="Courier New"/>
      <family val="3"/>
    </font>
    <font>
      <u val="single"/>
      <sz val="10"/>
      <color indexed="12"/>
      <name val="Arial"/>
      <family val="0"/>
    </font>
  </fonts>
  <fills count="2">
    <fill>
      <patternFill/>
    </fill>
    <fill>
      <patternFill patternType="gray125"/>
    </fill>
  </fills>
  <borders count="15">
    <border>
      <left/>
      <right/>
      <top/>
      <bottom/>
      <diagonal/>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7">
    <xf numFmtId="0" fontId="0" fillId="0" borderId="0" xfId="0" applyAlignment="1">
      <alignment/>
    </xf>
    <xf numFmtId="0" fontId="1" fillId="0" borderId="0" xfId="0" applyFont="1" applyBorder="1" applyAlignment="1">
      <alignment horizontal="center"/>
    </xf>
    <xf numFmtId="172" fontId="1" fillId="0" borderId="0" xfId="0" applyNumberFormat="1" applyFont="1" applyBorder="1" applyAlignment="1">
      <alignment horizontal="center"/>
    </xf>
    <xf numFmtId="0" fontId="0" fillId="0" borderId="0" xfId="0" applyBorder="1" applyAlignment="1">
      <alignment/>
    </xf>
    <xf numFmtId="0" fontId="0" fillId="0" borderId="0" xfId="0" applyBorder="1" applyAlignment="1">
      <alignment/>
    </xf>
    <xf numFmtId="172" fontId="0" fillId="0" borderId="0" xfId="0" applyNumberFormat="1" applyBorder="1" applyAlignment="1">
      <alignment/>
    </xf>
    <xf numFmtId="0" fontId="0" fillId="0" borderId="0" xfId="0" applyBorder="1" applyAlignment="1">
      <alignment vertical="top"/>
    </xf>
    <xf numFmtId="0" fontId="2" fillId="0" borderId="0" xfId="0" applyFont="1" applyAlignment="1">
      <alignment/>
    </xf>
    <xf numFmtId="174" fontId="2" fillId="0" borderId="0" xfId="0" applyNumberFormat="1" applyFont="1" applyAlignment="1">
      <alignment/>
    </xf>
    <xf numFmtId="172" fontId="2" fillId="0" borderId="0" xfId="0" applyNumberFormat="1" applyFont="1" applyAlignment="1">
      <alignment/>
    </xf>
    <xf numFmtId="0" fontId="2" fillId="0" borderId="0" xfId="0" applyNumberFormat="1" applyFont="1" applyAlignment="1">
      <alignment/>
    </xf>
    <xf numFmtId="0" fontId="3" fillId="0" borderId="0" xfId="0" applyFont="1" applyAlignment="1">
      <alignment horizontal="right"/>
    </xf>
    <xf numFmtId="0" fontId="2" fillId="0" borderId="0" xfId="0" applyFont="1" applyAlignment="1" applyProtection="1">
      <alignment/>
      <protection locked="0"/>
    </xf>
    <xf numFmtId="0" fontId="3" fillId="0" borderId="1" xfId="0" applyFont="1" applyBorder="1" applyAlignment="1">
      <alignment/>
    </xf>
    <xf numFmtId="0" fontId="3" fillId="0" borderId="0" xfId="0" applyFont="1" applyAlignment="1">
      <alignment/>
    </xf>
    <xf numFmtId="174" fontId="3" fillId="0" borderId="0" xfId="0" applyNumberFormat="1" applyFont="1" applyAlignment="1">
      <alignment/>
    </xf>
    <xf numFmtId="172" fontId="3" fillId="0" borderId="0" xfId="0" applyNumberFormat="1" applyFont="1" applyAlignment="1">
      <alignment/>
    </xf>
    <xf numFmtId="0" fontId="3" fillId="0" borderId="0" xfId="0" applyNumberFormat="1" applyFont="1" applyAlignment="1">
      <alignment/>
    </xf>
    <xf numFmtId="174" fontId="2" fillId="0" borderId="2" xfId="0" applyNumberFormat="1" applyFont="1" applyBorder="1" applyAlignment="1">
      <alignment/>
    </xf>
    <xf numFmtId="0" fontId="3" fillId="0" borderId="3" xfId="0" applyFont="1" applyBorder="1" applyAlignment="1">
      <alignment horizontal="right"/>
    </xf>
    <xf numFmtId="0" fontId="2" fillId="0" borderId="0" xfId="0" applyFont="1" applyBorder="1" applyAlignment="1">
      <alignment horizontal="right"/>
    </xf>
    <xf numFmtId="0" fontId="2" fillId="0" borderId="0" xfId="0" applyFont="1" applyBorder="1" applyAlignment="1">
      <alignment/>
    </xf>
    <xf numFmtId="174" fontId="2" fillId="0" borderId="0" xfId="0" applyNumberFormat="1" applyFont="1" applyBorder="1" applyAlignment="1">
      <alignment/>
    </xf>
    <xf numFmtId="172" fontId="2" fillId="0" borderId="0" xfId="0" applyNumberFormat="1" applyFont="1" applyBorder="1" applyAlignment="1">
      <alignment/>
    </xf>
    <xf numFmtId="0" fontId="2" fillId="0" borderId="0" xfId="0" applyNumberFormat="1" applyFont="1" applyBorder="1" applyAlignment="1">
      <alignment/>
    </xf>
    <xf numFmtId="0" fontId="3" fillId="0" borderId="0" xfId="0" applyFont="1" applyBorder="1" applyAlignment="1">
      <alignment horizontal="right"/>
    </xf>
    <xf numFmtId="174" fontId="2" fillId="0" borderId="0" xfId="0" applyNumberFormat="1" applyFont="1" applyBorder="1" applyAlignment="1" applyProtection="1">
      <alignment horizontal="left"/>
      <protection locked="0"/>
    </xf>
    <xf numFmtId="173" fontId="2" fillId="0" borderId="0" xfId="0" applyNumberFormat="1" applyFont="1" applyAlignment="1">
      <alignment/>
    </xf>
    <xf numFmtId="1" fontId="2" fillId="0" borderId="0" xfId="0" applyNumberFormat="1" applyFont="1" applyAlignment="1">
      <alignment/>
    </xf>
    <xf numFmtId="173" fontId="2" fillId="0" borderId="0" xfId="0" applyNumberFormat="1" applyFont="1" applyAlignment="1" applyProtection="1">
      <alignment/>
      <protection locked="0"/>
    </xf>
    <xf numFmtId="0" fontId="2" fillId="0" borderId="0" xfId="0" applyFont="1" applyAlignment="1">
      <alignment horizontal="right"/>
    </xf>
    <xf numFmtId="0" fontId="2" fillId="0" borderId="0" xfId="0" applyFont="1" applyAlignment="1">
      <alignment/>
    </xf>
    <xf numFmtId="2" fontId="2" fillId="0" borderId="0" xfId="0" applyNumberFormat="1" applyFont="1" applyAlignment="1" applyProtection="1">
      <alignment horizontal="left"/>
      <protection locked="0"/>
    </xf>
    <xf numFmtId="0" fontId="2" fillId="0" borderId="0" xfId="0" applyFont="1" applyAlignment="1">
      <alignment vertical="top"/>
    </xf>
    <xf numFmtId="0" fontId="2" fillId="0" borderId="4" xfId="0" applyNumberFormat="1" applyFont="1" applyBorder="1" applyAlignment="1" applyProtection="1">
      <alignment/>
      <protection locked="0"/>
    </xf>
    <xf numFmtId="0" fontId="2" fillId="0" borderId="2" xfId="0" applyNumberFormat="1" applyFont="1" applyBorder="1" applyAlignment="1" applyProtection="1">
      <alignment/>
      <protection locked="0"/>
    </xf>
    <xf numFmtId="0" fontId="2" fillId="0" borderId="5" xfId="0" applyNumberFormat="1" applyFont="1" applyBorder="1" applyAlignment="1" applyProtection="1">
      <alignment/>
      <protection locked="0"/>
    </xf>
    <xf numFmtId="0" fontId="2" fillId="0" borderId="4" xfId="0" applyFont="1" applyBorder="1" applyAlignment="1" applyProtection="1">
      <alignment/>
      <protection locked="0"/>
    </xf>
    <xf numFmtId="0" fontId="2" fillId="0" borderId="2" xfId="0" applyFont="1" applyBorder="1" applyAlignment="1" applyProtection="1">
      <alignment/>
      <protection locked="0"/>
    </xf>
    <xf numFmtId="0" fontId="2" fillId="0" borderId="5" xfId="0" applyFont="1" applyBorder="1" applyAlignment="1" applyProtection="1">
      <alignment/>
      <protection locked="0"/>
    </xf>
    <xf numFmtId="0" fontId="2" fillId="0" borderId="0" xfId="0" applyNumberFormat="1" applyFont="1" applyBorder="1" applyAlignment="1" applyProtection="1">
      <alignment/>
      <protection hidden="1"/>
    </xf>
    <xf numFmtId="174" fontId="2" fillId="0" borderId="4" xfId="0" applyNumberFormat="1" applyFont="1" applyBorder="1" applyAlignment="1" applyProtection="1">
      <alignment/>
      <protection hidden="1"/>
    </xf>
    <xf numFmtId="172" fontId="2" fillId="0" borderId="4" xfId="0" applyNumberFormat="1" applyFont="1" applyBorder="1" applyAlignment="1" applyProtection="1">
      <alignment/>
      <protection hidden="1"/>
    </xf>
    <xf numFmtId="0" fontId="2" fillId="0" borderId="4" xfId="0" applyNumberFormat="1" applyFont="1" applyBorder="1" applyAlignment="1" applyProtection="1">
      <alignment/>
      <protection hidden="1"/>
    </xf>
    <xf numFmtId="174" fontId="2" fillId="0" borderId="2" xfId="0" applyNumberFormat="1" applyFont="1" applyBorder="1" applyAlignment="1" applyProtection="1">
      <alignment/>
      <protection hidden="1"/>
    </xf>
    <xf numFmtId="172" fontId="2" fillId="0" borderId="2" xfId="0" applyNumberFormat="1" applyFont="1" applyBorder="1" applyAlignment="1" applyProtection="1">
      <alignment/>
      <protection hidden="1"/>
    </xf>
    <xf numFmtId="0" fontId="2" fillId="0" borderId="2" xfId="0" applyNumberFormat="1" applyFont="1" applyBorder="1" applyAlignment="1" applyProtection="1">
      <alignment/>
      <protection hidden="1"/>
    </xf>
    <xf numFmtId="174" fontId="2" fillId="0" borderId="5" xfId="0" applyNumberFormat="1" applyFont="1" applyBorder="1" applyAlignment="1" applyProtection="1">
      <alignment/>
      <protection hidden="1"/>
    </xf>
    <xf numFmtId="172" fontId="2" fillId="0" borderId="5" xfId="0" applyNumberFormat="1" applyFont="1" applyBorder="1" applyAlignment="1" applyProtection="1">
      <alignment/>
      <protection hidden="1"/>
    </xf>
    <xf numFmtId="0" fontId="2" fillId="0" borderId="5" xfId="0" applyNumberFormat="1" applyFont="1" applyBorder="1" applyAlignment="1" applyProtection="1">
      <alignment/>
      <protection hidden="1"/>
    </xf>
    <xf numFmtId="174" fontId="2" fillId="0" borderId="3" xfId="0" applyNumberFormat="1" applyFont="1" applyBorder="1" applyAlignment="1" applyProtection="1">
      <alignment/>
      <protection hidden="1"/>
    </xf>
    <xf numFmtId="172" fontId="2" fillId="0" borderId="3" xfId="0" applyNumberFormat="1" applyFont="1" applyBorder="1" applyAlignment="1" applyProtection="1">
      <alignment/>
      <protection hidden="1"/>
    </xf>
    <xf numFmtId="0" fontId="2" fillId="0" borderId="3" xfId="0" applyNumberFormat="1" applyFont="1" applyBorder="1" applyAlignment="1" applyProtection="1">
      <alignment/>
      <protection hidden="1"/>
    </xf>
    <xf numFmtId="173" fontId="2" fillId="0" borderId="4" xfId="0" applyNumberFormat="1" applyFont="1" applyBorder="1" applyAlignment="1" applyProtection="1">
      <alignment/>
      <protection hidden="1"/>
    </xf>
    <xf numFmtId="173" fontId="2" fillId="0" borderId="2" xfId="0" applyNumberFormat="1" applyFont="1" applyBorder="1" applyAlignment="1" applyProtection="1">
      <alignment/>
      <protection hidden="1"/>
    </xf>
    <xf numFmtId="173" fontId="2" fillId="0" borderId="6" xfId="0" applyNumberFormat="1" applyFont="1" applyBorder="1" applyAlignment="1" applyProtection="1">
      <alignment/>
      <protection hidden="1"/>
    </xf>
    <xf numFmtId="173" fontId="3" fillId="0" borderId="3" xfId="0" applyNumberFormat="1" applyFont="1" applyBorder="1" applyAlignment="1" applyProtection="1">
      <alignment/>
      <protection hidden="1"/>
    </xf>
    <xf numFmtId="1" fontId="2" fillId="0" borderId="0" xfId="0" applyNumberFormat="1" applyFont="1" applyAlignment="1" applyProtection="1">
      <alignment/>
      <protection hidden="1"/>
    </xf>
    <xf numFmtId="1" fontId="2" fillId="0" borderId="7" xfId="0" applyNumberFormat="1" applyFont="1" applyBorder="1" applyAlignment="1" applyProtection="1">
      <alignment/>
      <protection hidden="1"/>
    </xf>
    <xf numFmtId="173" fontId="2" fillId="0" borderId="8" xfId="0" applyNumberFormat="1" applyFont="1" applyBorder="1" applyAlignment="1" applyProtection="1">
      <alignment/>
      <protection hidden="1"/>
    </xf>
    <xf numFmtId="1" fontId="2" fillId="0" borderId="9" xfId="0" applyNumberFormat="1" applyFont="1" applyBorder="1" applyAlignment="1" applyProtection="1">
      <alignment/>
      <protection hidden="1"/>
    </xf>
    <xf numFmtId="173" fontId="2" fillId="0" borderId="10" xfId="0" applyNumberFormat="1" applyFont="1" applyBorder="1" applyAlignment="1" applyProtection="1">
      <alignment/>
      <protection hidden="1"/>
    </xf>
    <xf numFmtId="1" fontId="2" fillId="0" borderId="11" xfId="0" applyNumberFormat="1" applyFont="1" applyBorder="1" applyAlignment="1" applyProtection="1">
      <alignment/>
      <protection hidden="1"/>
    </xf>
    <xf numFmtId="173" fontId="2" fillId="0" borderId="12" xfId="0" applyNumberFormat="1" applyFont="1" applyBorder="1" applyAlignment="1" applyProtection="1">
      <alignment/>
      <protection hidden="1"/>
    </xf>
    <xf numFmtId="1" fontId="3" fillId="0" borderId="3" xfId="0" applyNumberFormat="1" applyFont="1" applyBorder="1" applyAlignment="1" applyProtection="1">
      <alignment/>
      <protection hidden="1"/>
    </xf>
    <xf numFmtId="174" fontId="2" fillId="0" borderId="0" xfId="0" applyNumberFormat="1" applyFont="1" applyBorder="1" applyAlignment="1" applyProtection="1">
      <alignment/>
      <protection hidden="1"/>
    </xf>
    <xf numFmtId="0" fontId="2" fillId="0" borderId="0" xfId="0" applyFont="1" applyAlignment="1" applyProtection="1">
      <alignment/>
      <protection hidden="1"/>
    </xf>
    <xf numFmtId="0" fontId="3" fillId="0" borderId="3" xfId="0" applyFont="1" applyBorder="1" applyAlignment="1" applyProtection="1">
      <alignment horizontal="right"/>
      <protection hidden="1"/>
    </xf>
    <xf numFmtId="0" fontId="2" fillId="0" borderId="0" xfId="0" applyFont="1" applyBorder="1" applyAlignment="1" applyProtection="1">
      <alignment horizontal="right"/>
      <protection hidden="1"/>
    </xf>
    <xf numFmtId="0" fontId="2" fillId="0" borderId="0" xfId="0" applyFont="1" applyBorder="1" applyAlignment="1" applyProtection="1">
      <alignment/>
      <protection hidden="1"/>
    </xf>
    <xf numFmtId="172" fontId="2" fillId="0" borderId="0" xfId="0" applyNumberFormat="1" applyFont="1" applyBorder="1" applyAlignment="1" applyProtection="1">
      <alignment/>
      <protection hidden="1"/>
    </xf>
    <xf numFmtId="0" fontId="3" fillId="0" borderId="0" xfId="0" applyFont="1" applyBorder="1" applyAlignment="1" applyProtection="1">
      <alignment horizontal="right"/>
      <protection hidden="1"/>
    </xf>
    <xf numFmtId="174" fontId="2" fillId="0" borderId="0" xfId="0" applyNumberFormat="1" applyFont="1" applyBorder="1" applyAlignment="1" applyProtection="1">
      <alignment horizontal="left"/>
      <protection hidden="1"/>
    </xf>
    <xf numFmtId="174" fontId="2" fillId="0" borderId="0" xfId="0" applyNumberFormat="1" applyFont="1" applyAlignment="1" applyProtection="1">
      <alignment/>
      <protection hidden="1"/>
    </xf>
    <xf numFmtId="172" fontId="2" fillId="0" borderId="0" xfId="0" applyNumberFormat="1" applyFont="1" applyAlignment="1" applyProtection="1">
      <alignment/>
      <protection hidden="1"/>
    </xf>
    <xf numFmtId="0" fontId="2" fillId="0" borderId="0" xfId="0" applyNumberFormat="1" applyFont="1" applyAlignment="1" applyProtection="1">
      <alignment/>
      <protection hidden="1"/>
    </xf>
    <xf numFmtId="0" fontId="3" fillId="0" borderId="0" xfId="0" applyFont="1" applyAlignment="1" applyProtection="1">
      <alignment/>
      <protection hidden="1"/>
    </xf>
    <xf numFmtId="172" fontId="3" fillId="0" borderId="0" xfId="0" applyNumberFormat="1" applyFont="1" applyAlignment="1" applyProtection="1">
      <alignment/>
      <protection hidden="1"/>
    </xf>
    <xf numFmtId="0" fontId="3" fillId="0" borderId="0" xfId="0" applyNumberFormat="1" applyFont="1" applyAlignment="1" applyProtection="1">
      <alignment/>
      <protection hidden="1"/>
    </xf>
    <xf numFmtId="173" fontId="2" fillId="0" borderId="0" xfId="0" applyNumberFormat="1" applyFont="1" applyAlignment="1" applyProtection="1">
      <alignment/>
      <protection hidden="1"/>
    </xf>
    <xf numFmtId="0" fontId="2" fillId="0" borderId="0" xfId="0" applyFont="1" applyBorder="1" applyAlignment="1" applyProtection="1">
      <alignment vertical="top" wrapText="1"/>
      <protection locked="0"/>
    </xf>
    <xf numFmtId="172" fontId="4" fillId="0" borderId="9" xfId="0" applyNumberFormat="1" applyFont="1" applyBorder="1" applyAlignment="1" applyProtection="1">
      <alignment/>
      <protection hidden="1"/>
    </xf>
    <xf numFmtId="0" fontId="4" fillId="0" borderId="0" xfId="0" applyNumberFormat="1" applyFont="1" applyBorder="1" applyAlignment="1" applyProtection="1">
      <alignment/>
      <protection hidden="1"/>
    </xf>
    <xf numFmtId="174" fontId="4" fillId="0" borderId="0" xfId="0" applyNumberFormat="1" applyFont="1" applyBorder="1" applyAlignment="1" applyProtection="1">
      <alignment/>
      <protection hidden="1"/>
    </xf>
    <xf numFmtId="0" fontId="2" fillId="0" borderId="4" xfId="0" applyFont="1" applyBorder="1" applyAlignment="1" applyProtection="1">
      <alignment/>
      <protection hidden="1"/>
    </xf>
    <xf numFmtId="0" fontId="2" fillId="0" borderId="2" xfId="0" applyFont="1" applyBorder="1" applyAlignment="1" applyProtection="1">
      <alignment/>
      <protection hidden="1"/>
    </xf>
    <xf numFmtId="0" fontId="2" fillId="0" borderId="5" xfId="0" applyFont="1" applyBorder="1" applyAlignment="1" applyProtection="1">
      <alignment/>
      <protection hidden="1"/>
    </xf>
    <xf numFmtId="1" fontId="0" fillId="0" borderId="0" xfId="0" applyNumberFormat="1" applyBorder="1" applyAlignment="1">
      <alignment/>
    </xf>
    <xf numFmtId="1" fontId="1" fillId="0" borderId="0" xfId="0" applyNumberFormat="1" applyFont="1" applyBorder="1" applyAlignment="1">
      <alignment/>
    </xf>
    <xf numFmtId="0" fontId="1" fillId="0" borderId="0" xfId="0" applyFont="1" applyBorder="1" applyAlignment="1">
      <alignment/>
    </xf>
    <xf numFmtId="0" fontId="1" fillId="0" borderId="0" xfId="0" applyFont="1" applyBorder="1" applyAlignment="1">
      <alignment/>
    </xf>
    <xf numFmtId="1" fontId="2" fillId="0" borderId="4" xfId="0" applyNumberFormat="1" applyFont="1" applyBorder="1" applyAlignment="1" applyProtection="1">
      <alignment/>
      <protection hidden="1"/>
    </xf>
    <xf numFmtId="1" fontId="2" fillId="0" borderId="2" xfId="0" applyNumberFormat="1" applyFont="1" applyBorder="1" applyAlignment="1" applyProtection="1">
      <alignment/>
      <protection hidden="1"/>
    </xf>
    <xf numFmtId="1" fontId="2" fillId="0" borderId="5" xfId="0" applyNumberFormat="1" applyFont="1" applyBorder="1" applyAlignment="1" applyProtection="1">
      <alignment/>
      <protection hidden="1"/>
    </xf>
    <xf numFmtId="0" fontId="2" fillId="0" borderId="0" xfId="0" applyFont="1" applyAlignment="1" applyProtection="1">
      <alignment/>
      <protection hidden="1"/>
    </xf>
    <xf numFmtId="0" fontId="4" fillId="0" borderId="0" xfId="0" applyFont="1" applyAlignment="1" applyProtection="1">
      <alignment/>
      <protection hidden="1"/>
    </xf>
    <xf numFmtId="0" fontId="3" fillId="0" borderId="7" xfId="0" applyFont="1" applyBorder="1" applyAlignment="1">
      <alignment/>
    </xf>
    <xf numFmtId="0" fontId="3" fillId="0" borderId="3" xfId="0" applyFont="1" applyBorder="1" applyAlignment="1">
      <alignment/>
    </xf>
    <xf numFmtId="0" fontId="2" fillId="0" borderId="3" xfId="0" applyFont="1" applyBorder="1" applyAlignment="1" applyProtection="1">
      <alignment/>
      <protection locked="0"/>
    </xf>
    <xf numFmtId="0" fontId="2" fillId="0" borderId="8" xfId="0" applyFont="1" applyBorder="1" applyAlignment="1">
      <alignment/>
    </xf>
    <xf numFmtId="0" fontId="3" fillId="0" borderId="0" xfId="0" applyFont="1" applyBorder="1" applyAlignment="1">
      <alignment/>
    </xf>
    <xf numFmtId="0" fontId="2" fillId="0" borderId="0" xfId="0" applyFont="1" applyBorder="1" applyAlignment="1" applyProtection="1">
      <alignment/>
      <protection locked="0"/>
    </xf>
    <xf numFmtId="0" fontId="2" fillId="0" borderId="10" xfId="0" applyFont="1" applyBorder="1" applyAlignment="1">
      <alignment/>
    </xf>
    <xf numFmtId="0" fontId="2" fillId="0" borderId="1" xfId="0" applyFont="1" applyBorder="1" applyAlignment="1" applyProtection="1">
      <alignment/>
      <protection locked="0"/>
    </xf>
    <xf numFmtId="0" fontId="2" fillId="0" borderId="13" xfId="0" applyFont="1" applyBorder="1" applyAlignment="1">
      <alignment/>
    </xf>
    <xf numFmtId="0" fontId="3" fillId="0" borderId="9" xfId="0" applyFont="1" applyBorder="1" applyAlignment="1">
      <alignment horizontal="right"/>
    </xf>
    <xf numFmtId="0" fontId="3" fillId="0" borderId="14" xfId="0" applyFont="1" applyBorder="1" applyAlignment="1">
      <alignment horizontal="right"/>
    </xf>
    <xf numFmtId="2" fontId="2" fillId="0" borderId="7" xfId="0" applyNumberFormat="1" applyFont="1" applyBorder="1" applyAlignment="1" applyProtection="1">
      <alignment/>
      <protection hidden="1"/>
    </xf>
    <xf numFmtId="2" fontId="2" fillId="0" borderId="9" xfId="0" applyNumberFormat="1" applyFont="1" applyBorder="1" applyAlignment="1" applyProtection="1">
      <alignment/>
      <protection hidden="1"/>
    </xf>
    <xf numFmtId="2" fontId="2" fillId="0" borderId="11" xfId="0" applyNumberFormat="1" applyFont="1" applyBorder="1" applyAlignment="1" applyProtection="1">
      <alignment/>
      <protection hidden="1"/>
    </xf>
    <xf numFmtId="2" fontId="3" fillId="0" borderId="3" xfId="0" applyNumberFormat="1" applyFont="1" applyBorder="1" applyAlignment="1" applyProtection="1">
      <alignment/>
      <protection hidden="1"/>
    </xf>
    <xf numFmtId="1" fontId="1" fillId="0" borderId="0" xfId="0" applyNumberFormat="1" applyFont="1" applyBorder="1" applyAlignment="1">
      <alignment horizontal="center"/>
    </xf>
    <xf numFmtId="0" fontId="3" fillId="0" borderId="0" xfId="0" applyFont="1" applyAlignment="1">
      <alignment horizontal="right"/>
    </xf>
    <xf numFmtId="0" fontId="2" fillId="0" borderId="7" xfId="0" applyFont="1" applyBorder="1" applyAlignment="1" applyProtection="1">
      <alignment vertical="top" wrapText="1"/>
      <protection locked="0"/>
    </xf>
    <xf numFmtId="0" fontId="2" fillId="0" borderId="3" xfId="0" applyFont="1" applyBorder="1" applyAlignment="1" applyProtection="1">
      <alignment vertical="top" wrapText="1"/>
      <protection locked="0"/>
    </xf>
    <xf numFmtId="0" fontId="2" fillId="0" borderId="8" xfId="0" applyFont="1" applyBorder="1" applyAlignment="1" applyProtection="1">
      <alignment vertical="top" wrapText="1"/>
      <protection locked="0"/>
    </xf>
    <xf numFmtId="0" fontId="2" fillId="0" borderId="9"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10" xfId="0" applyFont="1" applyBorder="1" applyAlignment="1" applyProtection="1">
      <alignment vertical="top" wrapText="1"/>
      <protection locked="0"/>
    </xf>
    <xf numFmtId="0" fontId="2" fillId="0" borderId="14"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0" fontId="2" fillId="0" borderId="0" xfId="0" applyFont="1" applyAlignment="1" applyProtection="1">
      <alignment/>
      <protection locked="0"/>
    </xf>
    <xf numFmtId="0" fontId="0" fillId="0" borderId="0" xfId="0" applyAlignment="1" applyProtection="1">
      <alignment/>
      <protection locked="0"/>
    </xf>
    <xf numFmtId="0" fontId="2" fillId="0" borderId="0" xfId="0" applyNumberFormat="1" applyFont="1" applyAlignment="1" applyProtection="1">
      <alignment/>
      <protection hidden="1"/>
    </xf>
    <xf numFmtId="0" fontId="0" fillId="0" borderId="0" xfId="0" applyAlignment="1">
      <alignment/>
    </xf>
    <xf numFmtId="0" fontId="2" fillId="0" borderId="0" xfId="0" applyFont="1" applyAlignment="1">
      <alignment/>
    </xf>
  </cellXfs>
  <cellStyles count="7">
    <cellStyle name="Normal" xfId="0"/>
    <cellStyle name="Comma" xfId="15"/>
    <cellStyle name="Comma [0]" xfId="16"/>
    <cellStyle name="Currency" xfId="17"/>
    <cellStyle name="Currency [0]" xfId="18"/>
    <cellStyle name="Hyperlink" xfId="19"/>
    <cellStyle name="Percent" xfId="20"/>
  </cellStyles>
  <dxfs count="3">
    <dxf>
      <font>
        <color rgb="FFFFFFFF"/>
      </font>
      <border/>
    </dxf>
    <dxf>
      <font>
        <b/>
        <i val="0"/>
      </font>
      <border/>
    </dxf>
    <dxf>
      <font>
        <color auto="1"/>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12</xdr:col>
      <xdr:colOff>0</xdr:colOff>
      <xdr:row>255</xdr:row>
      <xdr:rowOff>123825</xdr:rowOff>
    </xdr:to>
    <xdr:sp>
      <xdr:nvSpPr>
        <xdr:cNvPr id="1" name="TextBox 7"/>
        <xdr:cNvSpPr txBox="1">
          <a:spLocks noChangeArrowheads="1"/>
        </xdr:cNvSpPr>
      </xdr:nvSpPr>
      <xdr:spPr>
        <a:xfrm>
          <a:off x="609600" y="161925"/>
          <a:ext cx="6705600" cy="41252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Courier New"/>
              <a:ea typeface="Courier New"/>
              <a:cs typeface="Courier New"/>
            </a:rPr>
            <a:t>Hi, just a few notes about this template, how to use the workbooks created from 
it, and the methods used for certain operations.  There's a short FAQ at the 
very end of this document.
Installation
------------
(These instructions are based on installing the template for use by MSExcel97, 
on a machine running MSWindows95/98/ME/NT.)
The best place to keep this template is in your Templates folder.  Your 
Templates folder should be in the folder in which you installed Microsoft Office 
or Microsoft Excel.  For example: on my machine the Templates folder is 
'C:\Program Files\Microsoft Office\Templates'.
Basic usage
-----------
Once you have saved the template to your Templates folder, here's how to create 
new workbooks from it:
1) Start Excel
2) Click 'New' on the 'File' menu, which opens up the 'New' dialog box.
3) On the 'General' tab of the 'New' dialog, pick 'soapsheet.xlt'.
4) Click the OK button.
5) A new workbook called soapsheet1 should appear in Excel.
There are only two worksheets in this workbook that you need to be concerned 
with when you play with your soap recipes.  They are the sheets labeled "Recipe 
Worksheet" (the one you're on by default when you create a new workbook from the 
template) and "Scaled Version".  The fields that may be changed on the Recipe 
worksheet are:
- Recipe Name
- Alkali (NaOH for bar soap recipes, KOH for liquid soap recipes)
- fields under the "Oil" heading
- fields under the "Super-fatting Oil" heading
- fields under the "Weight in Oz" headings for oils and super-fatting oils
- Lye discount
- Bar Size (Oz)
- Notes
Entering a recipe is as easy as picking oils from the drop-down list attached to 
the Oil fields and entering the amount of each you want to use.  Then, if you 
want, enter super-fatting oils the same way, enter a lye discount, and perhaps 
change the bar size.  That's it.  Everything else will be calculated for you.
The Scaled Version sheet allows you to take the recipe entered on the Recipe 
sheet and scale it to whatever batch size you want.  It shows everything from 
the Recipe sheet except INS values, and includes the additional field "Scale 
Factor".  Scale Factor is the only field that may be changed on the Scaled 
Version sheet, and is used as follows: to scale a recipe down to one half of its 
original size, enter a Scale Factor of .5.  To double a recipe, enter a Scale 
Factor of 2.  Enter whatever factor you want, 2 and .5 are just examples.  You 
get the idea.
New feature on Scaled Version worksheet: there are now three new fields that
allow the recipe to be scaled either to a total batch size in ounces, a total
batch size in ounces after cure, or a total number of bars based on the user
settable bar size.  To use these, enter a number in any one of the three
fields (after typing the number hit return or select another cell to complete
your change), then click on the button next to the field.  This will cause Excel
to automatically change the scale factor to achieve the batch size or number
of bars you specify.  Please note that this "goal seeking" feature of Excel is
not perfect, sometimes it will not be able to properly scale to the number you
specify.  If that happens, try fractionally changing the number in one
direction or another and then hit the button again.  For example, if Excel is
having trouble scaling your recipe to a 64 ounce batch, try scaling to 64.1 or
63.9 ounces instead.  If it still doesn't work, try changing the number a
little more.  Also note that scaling to a batch size after cure or to a
number of bars is disabled when the alkali is set to KOH (liquid soap).
Bar Soap (NaOH) versus Liquid Soap (KOH) Recipes
------------------------------------------------
The alkali for a recipe is set to NaOH by default.  If you change it to KOH for a liquid
soap recipe, several things change:
1) The SAP values used change to those for KOH.
2) The water calculation changes to one suitable for liquid soap recipes.
3) The INS values and the INS calculation disappear, since the are not appli-
   cable to liquid soap.
4) Other fields/calculations that are not applicable to liquid soap (e.g. weight
   after cure, bar size, and yield in bars) also disappear.
SAP Values
----------
The SAP values used in calculating the lye are looked up from the SAP Values 
worksheet.  If you disagree with any of the values, please feel free to change 
them.  You may also change the names of any of the oils, just make sure you 
change any references on the Recipe worksheet from the old name to the new name.  
You may also add new oils, as long as you don't change the format of the SAP 
Values worksheet (this is very important, as the lookup from the Recipe 
worksheet depends upon the oil names and SAP values being in specific columns, 
and within a certain range of rows).  If you do add new oils, you can either 
insert them into the list where you want or put them at the end; order is not 
important, just don't go past row 200 or so.  Note too that the oils in the drop 
down list on the Recipe sheet appear in the same order as on the SAP Values 
sheet, so if you don't insert new oils in alphabetical order, they won't appear 
that way in the list either.  To save any changes/additions you make to the SAP 
Values worksheet, so that any new workbooks you create will include them, see 
"Changing the template" below.
INS Values of Recipes
---------------------
The concept of INS values is borrowed from Dr Robert McDaniel's book, 
"Essentially Soap."  He in turn borrowed it from an unattributed source.  In any 
event, what he says is that an oil's INS value is based on its SAP value and 
iodine value, and that a soap's INS is the weighted average of the INS values of 
its constituent oils.  What does that mean to you?  Probably not much.  The 
important thing is that (as related by Dr Bob) the 'ideal' INS value to shoot 
for when formulating a soap recipe is 160.  Now remember: 160 is only the ideal.  
Most recipes, even really excellent ones, won't be at an INS of 160.  The 
majority of the ones I've looked at are in the mid 140's or low 150's.  The INS 
value's real utility is as a sort of rough gauge of how well your recipe is 
balanced.  In other words, if your recipe's INS is much above or way below 160, 
you might want to take another look at things.  Note that the INS calculation is
not done for liquid soap recipes.
INS Values of Individual Oils
-----------------------------
Many of the INS values for individual oils are borrowed from Dr Bob.  
Specifically, the sheet calculates its own INS values based on the best SAP and 
iodine values I could find, but where Dr Bob had a value, I defer to him.  You 
may note that a few of the oils listed have no INS.  That's because Dr Bob 
didn't list them, and I couldn't find iodine value numbers for them either.  You 
can still use those oils in your recipes, but they will be ignored in the INS 
calculation for the recipe as a whole.
Canola versus Rapeseed oil
--------------------------
All canola oil is rapeseed oil, but not all rapeseed oil is canola.  The reason 
for this is that rapeseed oil normally has an erucic acid content of up to fifty 
percent, while in order for an oil to be called canola, it may have an erucic 
acid content of no more than two percent.  In other words, canola is low erucic 
acid rapeseed oil.  What does this mean to you?  Well, the erucic acid of 
regular rapeseed is largely replaced by oleic and linoleic acids in canola, 
which CHANGES THE SAP VALUE.  I have yet to see a saponification chart, either 
published or on the web, which takes this into account.  Every one of them 
treats rape and canola interchangeably, and lists the SAP of regular rape, even 
though the availability of regular rapeseed oil to the average North American 
consumer is limited at best.  Is this dangerous?  Since the SAP of rape is lower 
than that of canola, no, not really.  It just means you're building an 
additional lye discount into any soap that uses canola.  Which isn't much of a 
problem unless your recipe is already at the extreme of superfatting, or you're 
trying to make transparent soap.  Bottom line:  use canola for canola, and any 
of the other names (ramic/rape/rapeseed) for regular rapeseed oil.
Lye calculation and rounding
----------------------------
Because most people don't have a way to accurately measure amounts smaller than 
.1 ounces (well, I don't), the calculated amounts for lye and water are rounded 
DOWN to the nearest .1 ounce.  If you must round, rounding down is the only safe 
way to go for lye, and unless you are making very small batches, a difference of 
less than one tenth of an ounce should have very little effect.  Note that you 
may still enter amounts of oil to any level of precision you want, you just 
won't ever get more than one decimal place of precision for the lye and water.
Water calculation
-----------------
The amount of water required for bar soaps is calculated based on the rule of
thumb of one pound of water for every three pounds of oils.  There are other
rules of thumb out there, e.g. six ounces of water per pound of oils, ala the
MMS calculator, but I prefer the 1:3 rule.  For liquid soap recipes the amount
of water is three times the total weight of the KOH.
After Cure calculation
----------------------
The After Cure weight is an estimate of the total yield of soap after most of 
the water has cured out of your bars.  It is based on the rule of thumb that 
when your soap is done curing it will have about 15% of its original water 
content remaining.
Default values
--------------
Every new soapsheet workbook will have a default alkali of NaOH (bar soap), a lye
discount of 0%, bar size of 4 ounces, and scale factor of 1.  Any of these may be
changed.  To save your changes for future workbooks, see "Changing the template"
below.
Changing the template
---------------------
Here's how to change the template:
1) Create a new soapsheet workbook.
2) Make your changes/additions to SAP Values, bar size, lye discount, and/or 
scale factor.
3) From the File menu, click Save As.
4) In the 'Save as type' drop-down list box on the 'Save As' dialog, choose 
'Template (*.xlt)'.  This choice should automatically change the 'Save in' 
directory to your Templates directory.
5) In the 'File name' box of the 'Save As' dialog enter 'soapsheet' (the 
original name), or whatever name you would like to use for the new version of 
the template.
6) If you are replacing the template you started with in step one, you will be 
prompted whether or not to overwrite the original.  Click 'Yes'.
7) You're done.
FAQ's
-----
1) What the heck is a '.xlt' file?
The .xlt, versus .xls, indicates that it is an Excel spreadsheet _template_, not 
actually a spreadsheet. Every time you open it, it will create a new workbook in 
Excel that you will be asked to name when you save (i.e. it's hitting the `New' 
button to create a new workbook, but instead of being blank, it's got all of 
this stuff from the template in it already). Normally templates are kept in the 
Templates directory under the directory where Microsoft Office was installed. 
For me, under WindowsNT 4.0, that defaults to c:\program files\microsoft 
office\templates.  Once the template is installed in the templates directory, 
picking File&gt;New off of Excel's menu will pop up a dialog for choosing a 
template or wizard for the new workbook.  Just pick 'soapsheet.xlt' from the 
General tab, and you are good to go.
2) Why is the total effective lye discount greater than my lye discount, even 
though I specified no superfatting oils?
3) Why is the total effective lye discount different for the scaled version of 
my recipe?
The answer to these two questions has to do with the fact that lye amounts are 
rounded down to the nearest tenth of an ounce, as detailed in "Lye calculation 
and rounding" above.  To answer the first question, by way of example: if you 
specify a lye discount of 5%, which puts the lye amount at, for example, 7.39 
ounces, the number 7.39 will be rounded down to 7.3, giving you a total 
effective lye discount of almost 6.2%.  That's a 1.2% higher discount, all 
because you lost .09 ounces of lye to rounding.  Are you with me so far?  Now on 
to question two...  The reason why the total effective lye discount may be a 
different value on the scaled version worksheet than the recipe worksheet is 
that the amount being rounded off of the lye amount will almost certainly 
change, and it will be a different proportion to the lye amount than in the 
unscaled version.  For example: say I have a recipe with a 5% lye discount, 
which puts the lye amount at 8.66 ounces, which rounds down to 8.6, giving me a 
total effective lye discount of around 5.7%.  Then I go to the scaled version 
worksheet and double the batch size.  Now my 5% discount puts the lye amount at 
17.32 ounces, which rounds down to 17.3, giving me a total effective lye 
discount of only about 5.2%.  This effect can work the opposite way too, with 
the total effective lye discount going up when you change the batch size.  It is 
even more pronounced when you scale down to smaller batch sizes, because even a 
small amount rounded off is a proportionately larger change than in a large 
batch.  I hope that makes sense to everyone.  There's no way around this without 
taking a smaller lye discount than what you originally entered.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K94"/>
  <sheetViews>
    <sheetView workbookViewId="0" topLeftCell="A1">
      <selection activeCell="B24" sqref="B24"/>
    </sheetView>
  </sheetViews>
  <sheetFormatPr defaultColWidth="9.140625" defaultRowHeight="12.75"/>
  <cols>
    <col min="1" max="1" width="22.00390625" style="4" bestFit="1" customWidth="1"/>
    <col min="2" max="2" width="17.8515625" style="5" customWidth="1"/>
    <col min="3" max="3" width="20.140625" style="5" customWidth="1"/>
    <col min="4" max="5" width="6.00390625" style="87" customWidth="1"/>
    <col min="6" max="6" width="12.7109375" style="3" bestFit="1" customWidth="1"/>
    <col min="7" max="7" width="7.8515625" style="3" bestFit="1" customWidth="1"/>
    <col min="8" max="8" width="4.140625" style="3" bestFit="1" customWidth="1"/>
    <col min="9" max="9" width="12.7109375" style="3" bestFit="1" customWidth="1"/>
    <col min="10" max="10" width="17.8515625" style="3" bestFit="1" customWidth="1"/>
    <col min="11" max="11" width="20.140625" style="3" bestFit="1" customWidth="1"/>
    <col min="12" max="16384" width="9.140625" style="3" customWidth="1"/>
  </cols>
  <sheetData>
    <row r="1" spans="1:11" ht="12.75">
      <c r="A1" s="1" t="s">
        <v>93</v>
      </c>
      <c r="B1" s="2" t="s">
        <v>1</v>
      </c>
      <c r="C1" s="2" t="s">
        <v>2</v>
      </c>
      <c r="D1" s="111" t="s">
        <v>121</v>
      </c>
      <c r="E1" s="111"/>
      <c r="I1" s="1"/>
      <c r="J1" s="2"/>
      <c r="K1" s="2"/>
    </row>
    <row r="2" spans="2:11" ht="12.75">
      <c r="B2" s="2" t="s">
        <v>135</v>
      </c>
      <c r="C2" s="2" t="s">
        <v>136</v>
      </c>
      <c r="D2" s="88" t="s">
        <v>123</v>
      </c>
      <c r="E2" s="88" t="s">
        <v>122</v>
      </c>
      <c r="F2" s="89" t="s">
        <v>124</v>
      </c>
      <c r="G2" s="89" t="s">
        <v>125</v>
      </c>
      <c r="H2" s="89" t="s">
        <v>112</v>
      </c>
      <c r="I2" s="90" t="s">
        <v>132</v>
      </c>
      <c r="J2" s="2"/>
      <c r="K2" s="2"/>
    </row>
    <row r="3" spans="1:8" ht="12.75">
      <c r="A3" s="4" t="s">
        <v>3</v>
      </c>
      <c r="B3" s="5">
        <v>0.136</v>
      </c>
      <c r="C3" s="5">
        <v>0.1904</v>
      </c>
      <c r="D3" s="87">
        <v>93</v>
      </c>
      <c r="E3" s="87">
        <v>105</v>
      </c>
      <c r="F3" s="3">
        <v>97</v>
      </c>
      <c r="G3" s="3">
        <f aca="true" t="shared" si="0" ref="G3:G63">IF(AND(NOT(D3=""),NOT(E3="")),ROUNDUP((C3*1000)-((D3+E3)/2),0),"")</f>
        <v>92</v>
      </c>
      <c r="H3" s="3">
        <f>IF(F3="",G3,F3)</f>
        <v>97</v>
      </c>
    </row>
    <row r="4" spans="1:8" ht="12.75">
      <c r="A4" s="4" t="s">
        <v>106</v>
      </c>
      <c r="B4" s="5">
        <v>0.135</v>
      </c>
      <c r="C4" s="5">
        <v>0.189</v>
      </c>
      <c r="D4" s="87">
        <v>92</v>
      </c>
      <c r="E4" s="87">
        <v>108</v>
      </c>
      <c r="F4" s="3">
        <v>91</v>
      </c>
      <c r="G4" s="3">
        <f t="shared" si="0"/>
        <v>89</v>
      </c>
      <c r="H4" s="3">
        <f aca="true" t="shared" si="1" ref="H4:H65">IF(F4="",G4,F4)</f>
        <v>91</v>
      </c>
    </row>
    <row r="5" spans="1:9" ht="12.75">
      <c r="A5" s="4" t="s">
        <v>4</v>
      </c>
      <c r="B5" s="5">
        <v>0.136</v>
      </c>
      <c r="C5" s="5">
        <v>0.1904</v>
      </c>
      <c r="D5" s="87">
        <v>93</v>
      </c>
      <c r="E5" s="87">
        <v>93</v>
      </c>
      <c r="F5" s="3">
        <v>99</v>
      </c>
      <c r="G5" s="3">
        <f t="shared" si="0"/>
        <v>98</v>
      </c>
      <c r="H5" s="3">
        <f t="shared" si="1"/>
        <v>99</v>
      </c>
      <c r="I5" s="3" t="s">
        <v>114</v>
      </c>
    </row>
    <row r="6" spans="1:8" ht="12.75">
      <c r="A6" s="4" t="s">
        <v>5</v>
      </c>
      <c r="B6" s="5">
        <v>0.133</v>
      </c>
      <c r="C6" s="5">
        <v>0.1862</v>
      </c>
      <c r="D6" s="87">
        <v>82</v>
      </c>
      <c r="E6" s="87">
        <v>90</v>
      </c>
      <c r="F6" s="3">
        <v>99</v>
      </c>
      <c r="G6" s="3">
        <f t="shared" si="0"/>
        <v>101</v>
      </c>
      <c r="H6" s="3">
        <f t="shared" si="1"/>
        <v>99</v>
      </c>
    </row>
    <row r="7" spans="1:8" ht="12.75">
      <c r="A7" s="4" t="s">
        <v>100</v>
      </c>
      <c r="B7" s="5">
        <v>0.1339</v>
      </c>
      <c r="C7" s="5">
        <v>0.1875</v>
      </c>
      <c r="D7" s="87">
        <v>60</v>
      </c>
      <c r="E7" s="87">
        <v>90</v>
      </c>
      <c r="G7" s="3">
        <f>IF(AND(NOT(D7=""),NOT(E7="")),ROUNDUP((C7*1000)-((D7+E7)/2),0),"")</f>
        <v>113</v>
      </c>
      <c r="H7" s="3">
        <f t="shared" si="1"/>
        <v>113</v>
      </c>
    </row>
    <row r="8" spans="1:8" ht="12.75">
      <c r="A8" s="4" t="s">
        <v>6</v>
      </c>
      <c r="B8" s="5">
        <v>0.175</v>
      </c>
      <c r="C8" s="5">
        <v>0.245</v>
      </c>
      <c r="D8" s="87">
        <v>10</v>
      </c>
      <c r="E8" s="87">
        <v>20</v>
      </c>
      <c r="F8" s="3">
        <v>230</v>
      </c>
      <c r="G8" s="3">
        <f aca="true" t="shared" si="2" ref="G8:G37">IF(AND(NOT(D8=""),NOT(E8="")),ROUNDUP((C8*1000)-((D8+E8)/2),0),"")</f>
        <v>230</v>
      </c>
      <c r="H8" s="3">
        <f t="shared" si="1"/>
        <v>230</v>
      </c>
    </row>
    <row r="9" spans="1:9" ht="12.75">
      <c r="A9" s="4" t="s">
        <v>7</v>
      </c>
      <c r="B9" s="5">
        <v>0.141</v>
      </c>
      <c r="C9" s="5">
        <v>0.1974</v>
      </c>
      <c r="D9" s="87">
        <v>72</v>
      </c>
      <c r="E9" s="87">
        <v>72</v>
      </c>
      <c r="F9" s="3">
        <v>124</v>
      </c>
      <c r="G9" s="3">
        <f t="shared" si="2"/>
        <v>126</v>
      </c>
      <c r="H9" s="3">
        <f t="shared" si="1"/>
        <v>124</v>
      </c>
      <c r="I9" s="3" t="s">
        <v>117</v>
      </c>
    </row>
    <row r="10" spans="1:8" ht="12.75">
      <c r="A10" s="4" t="s">
        <v>98</v>
      </c>
      <c r="B10" s="5">
        <v>0.069</v>
      </c>
      <c r="C10" s="5">
        <v>0.0966</v>
      </c>
      <c r="D10" s="87">
        <v>8</v>
      </c>
      <c r="E10" s="87">
        <v>11</v>
      </c>
      <c r="F10" s="3">
        <v>84</v>
      </c>
      <c r="G10" s="3">
        <f t="shared" si="2"/>
        <v>88</v>
      </c>
      <c r="H10" s="3">
        <f t="shared" si="1"/>
        <v>84</v>
      </c>
    </row>
    <row r="11" spans="1:8" ht="12.75">
      <c r="A11" s="4" t="s">
        <v>97</v>
      </c>
      <c r="B11" s="5">
        <v>0.1357</v>
      </c>
      <c r="C11" s="5">
        <v>0.19</v>
      </c>
      <c r="D11" s="87">
        <v>130</v>
      </c>
      <c r="E11" s="87">
        <v>150</v>
      </c>
      <c r="G11" s="3">
        <f t="shared" si="2"/>
        <v>50</v>
      </c>
      <c r="H11" s="3">
        <f t="shared" si="1"/>
        <v>50</v>
      </c>
    </row>
    <row r="12" spans="1:8" ht="12.75">
      <c r="A12" s="4" t="s">
        <v>8</v>
      </c>
      <c r="B12" s="5">
        <v>0.175</v>
      </c>
      <c r="C12" s="5">
        <v>0.245</v>
      </c>
      <c r="D12" s="87">
        <v>10</v>
      </c>
      <c r="E12" s="87">
        <v>20</v>
      </c>
      <c r="F12" s="3">
        <v>230</v>
      </c>
      <c r="G12" s="3">
        <f t="shared" si="2"/>
        <v>230</v>
      </c>
      <c r="H12" s="3">
        <f t="shared" si="1"/>
        <v>230</v>
      </c>
    </row>
    <row r="13" spans="1:8" ht="12.75">
      <c r="A13" s="4" t="s">
        <v>9</v>
      </c>
      <c r="B13" s="5">
        <v>0.1619</v>
      </c>
      <c r="C13" s="5">
        <v>0.2266</v>
      </c>
      <c r="D13" s="87">
        <v>30</v>
      </c>
      <c r="E13" s="87">
        <v>30</v>
      </c>
      <c r="F13" s="3">
        <v>191</v>
      </c>
      <c r="G13" s="3">
        <f t="shared" si="2"/>
        <v>197</v>
      </c>
      <c r="H13" s="3">
        <f t="shared" si="1"/>
        <v>191</v>
      </c>
    </row>
    <row r="14" spans="1:8" ht="12.75">
      <c r="A14" s="4" t="s">
        <v>10</v>
      </c>
      <c r="B14" s="5">
        <v>0.1672</v>
      </c>
      <c r="C14" s="5">
        <v>0.234</v>
      </c>
      <c r="D14" s="87">
        <v>30</v>
      </c>
      <c r="E14" s="87">
        <v>30</v>
      </c>
      <c r="G14" s="3">
        <f t="shared" si="2"/>
        <v>204</v>
      </c>
      <c r="H14" s="3">
        <f t="shared" si="1"/>
        <v>204</v>
      </c>
    </row>
    <row r="15" spans="1:8" ht="12.75">
      <c r="A15" s="4" t="s">
        <v>107</v>
      </c>
      <c r="B15" s="5">
        <v>0.1333</v>
      </c>
      <c r="C15" s="5">
        <v>0.187</v>
      </c>
      <c r="D15" s="87">
        <v>140</v>
      </c>
      <c r="E15" s="87">
        <v>160</v>
      </c>
      <c r="G15" s="3">
        <f t="shared" si="2"/>
        <v>37</v>
      </c>
      <c r="H15" s="3">
        <f t="shared" si="1"/>
        <v>37</v>
      </c>
    </row>
    <row r="16" spans="1:8" ht="12.75">
      <c r="A16" s="4" t="s">
        <v>110</v>
      </c>
      <c r="B16" s="5">
        <v>0.1362</v>
      </c>
      <c r="C16" s="5">
        <v>0.191</v>
      </c>
      <c r="D16" s="87">
        <v>78</v>
      </c>
      <c r="E16" s="87">
        <v>88</v>
      </c>
      <c r="G16" s="3">
        <f t="shared" si="2"/>
        <v>108</v>
      </c>
      <c r="H16" s="3">
        <f t="shared" si="1"/>
        <v>108</v>
      </c>
    </row>
    <row r="17" spans="1:8" ht="12.75">
      <c r="A17" s="4" t="s">
        <v>127</v>
      </c>
      <c r="B17" s="5">
        <v>0.0381</v>
      </c>
      <c r="C17" s="5">
        <v>0.0535</v>
      </c>
      <c r="D17" s="87">
        <v>19</v>
      </c>
      <c r="E17" s="87">
        <v>24</v>
      </c>
      <c r="G17" s="3">
        <f t="shared" si="2"/>
        <v>32</v>
      </c>
      <c r="H17" s="3">
        <f t="shared" si="1"/>
        <v>32</v>
      </c>
    </row>
    <row r="18" spans="1:8" ht="12.75">
      <c r="A18" s="4" t="s">
        <v>11</v>
      </c>
      <c r="B18" s="5">
        <v>0.1324</v>
      </c>
      <c r="C18" s="5">
        <v>0.1856</v>
      </c>
      <c r="D18" s="87">
        <v>110</v>
      </c>
      <c r="E18" s="87">
        <v>126</v>
      </c>
      <c r="F18" s="3">
        <v>56</v>
      </c>
      <c r="G18" s="3">
        <f t="shared" si="2"/>
        <v>68</v>
      </c>
      <c r="H18" s="3">
        <f t="shared" si="1"/>
        <v>56</v>
      </c>
    </row>
    <row r="19" spans="1:8" ht="12.75">
      <c r="A19" s="4" t="s">
        <v>128</v>
      </c>
      <c r="B19" s="5">
        <v>0.0611</v>
      </c>
      <c r="C19" s="5">
        <v>0.0856</v>
      </c>
      <c r="D19" s="87">
        <v>7</v>
      </c>
      <c r="E19" s="87">
        <v>14</v>
      </c>
      <c r="G19" s="3">
        <f>IF(AND(NOT(D19=""),NOT(E19="")),ROUNDUP((C19*1000)-((D19+E19)/2),0),"")</f>
        <v>76</v>
      </c>
      <c r="H19" s="3">
        <f>IF(F19="",G19,F19)</f>
        <v>76</v>
      </c>
    </row>
    <row r="20" spans="1:8" ht="12.75">
      <c r="A20" s="4" t="s">
        <v>12</v>
      </c>
      <c r="B20" s="5">
        <v>0.1286</v>
      </c>
      <c r="C20" s="5">
        <v>0.18</v>
      </c>
      <c r="D20" s="87">
        <v>82</v>
      </c>
      <c r="E20" s="87">
        <v>90</v>
      </c>
      <c r="F20" s="3">
        <v>95</v>
      </c>
      <c r="G20" s="3">
        <f t="shared" si="2"/>
        <v>94</v>
      </c>
      <c r="H20" s="3">
        <f t="shared" si="1"/>
        <v>95</v>
      </c>
    </row>
    <row r="21" spans="1:8" ht="12.75">
      <c r="A21" s="4" t="s">
        <v>13</v>
      </c>
      <c r="B21" s="5">
        <v>0.1389</v>
      </c>
      <c r="C21" s="5">
        <v>0.1944</v>
      </c>
      <c r="F21" s="3">
        <v>130</v>
      </c>
      <c r="G21" s="3">
        <f t="shared" si="2"/>
      </c>
      <c r="H21" s="3">
        <f t="shared" si="1"/>
        <v>130</v>
      </c>
    </row>
    <row r="22" spans="1:9" ht="12.75">
      <c r="A22" s="4" t="s">
        <v>14</v>
      </c>
      <c r="B22" s="5">
        <v>0.135</v>
      </c>
      <c r="C22" s="5">
        <v>0.189</v>
      </c>
      <c r="D22" s="87">
        <v>124</v>
      </c>
      <c r="E22" s="87">
        <v>132</v>
      </c>
      <c r="F22" s="3">
        <v>61</v>
      </c>
      <c r="G22" s="3">
        <f t="shared" si="2"/>
        <v>61</v>
      </c>
      <c r="H22" s="3">
        <f t="shared" si="1"/>
        <v>61</v>
      </c>
      <c r="I22" s="3" t="s">
        <v>116</v>
      </c>
    </row>
    <row r="23" spans="1:8" ht="12.75">
      <c r="A23" s="4" t="s">
        <v>15</v>
      </c>
      <c r="B23" s="5">
        <v>0.137</v>
      </c>
      <c r="C23" s="5">
        <v>0.1918</v>
      </c>
      <c r="D23" s="87">
        <v>33</v>
      </c>
      <c r="E23" s="87">
        <v>44</v>
      </c>
      <c r="F23" s="3">
        <v>157</v>
      </c>
      <c r="G23" s="3">
        <f t="shared" si="2"/>
        <v>154</v>
      </c>
      <c r="H23" s="3">
        <f t="shared" si="1"/>
        <v>157</v>
      </c>
    </row>
    <row r="24" spans="1:8" ht="12.75">
      <c r="A24" s="4" t="s">
        <v>16</v>
      </c>
      <c r="B24" s="5">
        <v>0.19</v>
      </c>
      <c r="C24" s="5">
        <v>0.266</v>
      </c>
      <c r="D24" s="87">
        <v>10</v>
      </c>
      <c r="E24" s="87">
        <v>10</v>
      </c>
      <c r="F24" s="3">
        <v>258</v>
      </c>
      <c r="G24" s="3">
        <f t="shared" si="2"/>
        <v>256</v>
      </c>
      <c r="H24" s="3">
        <f t="shared" si="1"/>
        <v>258</v>
      </c>
    </row>
    <row r="25" spans="1:8" ht="12.75">
      <c r="A25" s="4" t="s">
        <v>17</v>
      </c>
      <c r="B25" s="5">
        <v>0.1326</v>
      </c>
      <c r="C25" s="5">
        <v>0.1856</v>
      </c>
      <c r="D25" s="87">
        <v>181</v>
      </c>
      <c r="E25" s="87">
        <v>181</v>
      </c>
      <c r="F25" s="3">
        <v>29</v>
      </c>
      <c r="G25" s="3">
        <f t="shared" si="2"/>
        <v>5</v>
      </c>
      <c r="H25" s="3">
        <f t="shared" si="1"/>
        <v>29</v>
      </c>
    </row>
    <row r="26" spans="1:9" ht="12.75">
      <c r="A26" s="4" t="s">
        <v>18</v>
      </c>
      <c r="B26" s="5">
        <v>0.124</v>
      </c>
      <c r="C26" s="5">
        <v>0.1736</v>
      </c>
      <c r="D26" s="87">
        <v>105</v>
      </c>
      <c r="E26" s="87">
        <v>120</v>
      </c>
      <c r="F26" s="3">
        <v>56</v>
      </c>
      <c r="G26" s="3">
        <f t="shared" si="2"/>
        <v>62</v>
      </c>
      <c r="H26" s="3">
        <f t="shared" si="1"/>
        <v>56</v>
      </c>
      <c r="I26" s="3" t="s">
        <v>115</v>
      </c>
    </row>
    <row r="27" spans="1:8" ht="12.75">
      <c r="A27" s="4" t="s">
        <v>19</v>
      </c>
      <c r="B27" s="5">
        <v>0.136</v>
      </c>
      <c r="C27" s="5">
        <v>0.1904</v>
      </c>
      <c r="D27" s="87">
        <v>103</v>
      </c>
      <c r="E27" s="87">
        <v>130</v>
      </c>
      <c r="F27" s="3">
        <v>69</v>
      </c>
      <c r="G27" s="3">
        <f t="shared" si="2"/>
        <v>74</v>
      </c>
      <c r="H27" s="3">
        <f t="shared" si="1"/>
        <v>69</v>
      </c>
    </row>
    <row r="28" spans="1:8" ht="12.75">
      <c r="A28" s="4" t="s">
        <v>20</v>
      </c>
      <c r="B28" s="5">
        <v>0.1386</v>
      </c>
      <c r="C28" s="5">
        <v>0.194</v>
      </c>
      <c r="D28" s="87">
        <v>112</v>
      </c>
      <c r="E28" s="87">
        <v>112</v>
      </c>
      <c r="F28" s="3">
        <v>89</v>
      </c>
      <c r="G28" s="3">
        <f t="shared" si="2"/>
        <v>82</v>
      </c>
      <c r="H28" s="3">
        <f t="shared" si="1"/>
        <v>89</v>
      </c>
    </row>
    <row r="29" spans="1:9" ht="12.75">
      <c r="A29" s="4" t="s">
        <v>21</v>
      </c>
      <c r="B29" s="5">
        <v>0.136</v>
      </c>
      <c r="C29" s="5">
        <v>0.1904</v>
      </c>
      <c r="D29" s="87">
        <v>93</v>
      </c>
      <c r="E29" s="87">
        <v>93</v>
      </c>
      <c r="F29" s="3">
        <v>99</v>
      </c>
      <c r="G29" s="3">
        <f t="shared" si="2"/>
        <v>98</v>
      </c>
      <c r="H29" s="3">
        <f t="shared" si="1"/>
        <v>99</v>
      </c>
      <c r="I29" s="3" t="s">
        <v>114</v>
      </c>
    </row>
    <row r="30" spans="1:8" ht="12.75">
      <c r="A30" s="4" t="s">
        <v>96</v>
      </c>
      <c r="B30" s="5">
        <v>0.1359</v>
      </c>
      <c r="C30" s="5">
        <v>0.1906</v>
      </c>
      <c r="D30" s="87">
        <v>40</v>
      </c>
      <c r="E30" s="87">
        <v>80</v>
      </c>
      <c r="F30" s="3">
        <v>128</v>
      </c>
      <c r="G30" s="3">
        <f t="shared" si="2"/>
        <v>131</v>
      </c>
      <c r="H30" s="3">
        <f t="shared" si="1"/>
        <v>128</v>
      </c>
    </row>
    <row r="31" spans="1:8" ht="12.75">
      <c r="A31" s="4" t="s">
        <v>99</v>
      </c>
      <c r="B31" s="5">
        <v>0.1357</v>
      </c>
      <c r="C31" s="5">
        <v>0.19</v>
      </c>
      <c r="D31" s="87">
        <v>150</v>
      </c>
      <c r="E31" s="87">
        <v>170</v>
      </c>
      <c r="G31" s="3">
        <f t="shared" si="2"/>
        <v>30</v>
      </c>
      <c r="H31" s="3">
        <f t="shared" si="1"/>
        <v>30</v>
      </c>
    </row>
    <row r="32" spans="1:8" ht="12.75">
      <c r="A32" s="4" t="s">
        <v>22</v>
      </c>
      <c r="B32" s="5">
        <v>0.1357</v>
      </c>
      <c r="C32" s="5">
        <v>0.1899</v>
      </c>
      <c r="D32" s="87">
        <v>205</v>
      </c>
      <c r="E32" s="87">
        <v>205</v>
      </c>
      <c r="F32" s="3">
        <v>-6</v>
      </c>
      <c r="G32" s="3">
        <f t="shared" si="2"/>
        <v>-16</v>
      </c>
      <c r="H32" s="3">
        <f t="shared" si="1"/>
        <v>-6</v>
      </c>
    </row>
    <row r="33" spans="1:8" ht="12.75">
      <c r="A33" s="4" t="s">
        <v>23</v>
      </c>
      <c r="B33" s="5">
        <v>0.1369</v>
      </c>
      <c r="C33" s="5">
        <v>0.1916</v>
      </c>
      <c r="F33" s="3">
        <v>130</v>
      </c>
      <c r="G33" s="3">
        <f t="shared" si="2"/>
      </c>
      <c r="H33" s="3">
        <f t="shared" si="1"/>
        <v>130</v>
      </c>
    </row>
    <row r="34" spans="1:8" ht="12.75">
      <c r="A34" s="4" t="s">
        <v>24</v>
      </c>
      <c r="B34" s="5">
        <v>0.1265</v>
      </c>
      <c r="C34" s="5">
        <v>0.1771</v>
      </c>
      <c r="D34" s="87">
        <v>125</v>
      </c>
      <c r="E34" s="87">
        <v>137</v>
      </c>
      <c r="F34" s="3">
        <v>66</v>
      </c>
      <c r="G34" s="3">
        <f t="shared" si="2"/>
        <v>47</v>
      </c>
      <c r="H34" s="3">
        <f t="shared" si="1"/>
        <v>66</v>
      </c>
    </row>
    <row r="35" spans="1:8" ht="12.75">
      <c r="A35" s="4" t="s">
        <v>25</v>
      </c>
      <c r="B35" s="5">
        <v>0.1356</v>
      </c>
      <c r="C35" s="5">
        <v>0.1898</v>
      </c>
      <c r="D35" s="87">
        <v>90</v>
      </c>
      <c r="E35" s="87">
        <v>103</v>
      </c>
      <c r="G35" s="3">
        <f t="shared" si="2"/>
        <v>94</v>
      </c>
      <c r="H35" s="3">
        <f t="shared" si="1"/>
        <v>94</v>
      </c>
    </row>
    <row r="36" spans="1:8" ht="12.75">
      <c r="A36" s="4" t="s">
        <v>26</v>
      </c>
      <c r="B36" s="5">
        <v>0.1345</v>
      </c>
      <c r="C36" s="5">
        <v>0.1883</v>
      </c>
      <c r="D36" s="87">
        <v>160</v>
      </c>
      <c r="E36" s="87">
        <v>170</v>
      </c>
      <c r="F36" s="3">
        <v>39</v>
      </c>
      <c r="G36" s="3">
        <f t="shared" si="2"/>
        <v>24</v>
      </c>
      <c r="H36" s="3">
        <f t="shared" si="1"/>
        <v>39</v>
      </c>
    </row>
    <row r="37" spans="1:8" ht="12.75">
      <c r="A37" s="4" t="s">
        <v>103</v>
      </c>
      <c r="B37" s="5">
        <v>0.1385</v>
      </c>
      <c r="C37" s="5">
        <v>0.194</v>
      </c>
      <c r="D37" s="87">
        <v>43</v>
      </c>
      <c r="E37" s="87">
        <v>55</v>
      </c>
      <c r="G37" s="3">
        <f t="shared" si="2"/>
        <v>145</v>
      </c>
      <c r="H37" s="3">
        <f t="shared" si="1"/>
        <v>145</v>
      </c>
    </row>
    <row r="38" spans="1:9" ht="12.75">
      <c r="A38" s="4" t="s">
        <v>27</v>
      </c>
      <c r="B38" s="5">
        <v>0.1461</v>
      </c>
      <c r="C38" s="5">
        <v>0.2049</v>
      </c>
      <c r="D38" s="87">
        <v>85</v>
      </c>
      <c r="E38" s="87">
        <v>110</v>
      </c>
      <c r="G38" s="3">
        <f t="shared" si="0"/>
        <v>108</v>
      </c>
      <c r="H38" s="3">
        <f t="shared" si="1"/>
        <v>108</v>
      </c>
      <c r="I38" s="3" t="s">
        <v>113</v>
      </c>
    </row>
    <row r="39" spans="1:8" ht="12.75">
      <c r="A39" s="4" t="s">
        <v>28</v>
      </c>
      <c r="B39" s="5">
        <v>0.069</v>
      </c>
      <c r="C39" s="5">
        <v>0.0966</v>
      </c>
      <c r="D39" s="87">
        <v>80</v>
      </c>
      <c r="E39" s="87">
        <v>85</v>
      </c>
      <c r="F39" s="3">
        <v>11</v>
      </c>
      <c r="G39" s="3">
        <f t="shared" si="0"/>
        <v>15</v>
      </c>
      <c r="H39" s="3">
        <f t="shared" si="1"/>
        <v>11</v>
      </c>
    </row>
    <row r="40" spans="1:8" ht="12.75">
      <c r="A40" s="4" t="s">
        <v>29</v>
      </c>
      <c r="B40" s="5">
        <v>0.1461</v>
      </c>
      <c r="C40" s="5">
        <v>0.2049</v>
      </c>
      <c r="D40" s="87">
        <v>85</v>
      </c>
      <c r="E40" s="87">
        <v>110</v>
      </c>
      <c r="G40" s="3">
        <f t="shared" si="0"/>
        <v>108</v>
      </c>
      <c r="H40" s="3">
        <f t="shared" si="1"/>
        <v>108</v>
      </c>
    </row>
    <row r="41" spans="1:8" ht="12.75">
      <c r="A41" s="4" t="s">
        <v>30</v>
      </c>
      <c r="B41" s="5">
        <v>0.128</v>
      </c>
      <c r="C41" s="5">
        <v>0.1792</v>
      </c>
      <c r="D41" s="87">
        <v>55</v>
      </c>
      <c r="E41" s="87">
        <v>71</v>
      </c>
      <c r="F41" s="3">
        <v>116</v>
      </c>
      <c r="G41" s="3">
        <f t="shared" si="0"/>
        <v>117</v>
      </c>
      <c r="H41" s="3">
        <f t="shared" si="1"/>
        <v>116</v>
      </c>
    </row>
    <row r="42" spans="1:9" ht="12.75">
      <c r="A42" s="4" t="s">
        <v>31</v>
      </c>
      <c r="B42" s="5">
        <v>0.136</v>
      </c>
      <c r="C42" s="5">
        <v>0.1904</v>
      </c>
      <c r="D42" s="87">
        <v>93</v>
      </c>
      <c r="E42" s="87">
        <v>93</v>
      </c>
      <c r="F42" s="3">
        <v>99</v>
      </c>
      <c r="G42" s="3">
        <f t="shared" si="0"/>
        <v>98</v>
      </c>
      <c r="H42" s="3">
        <f t="shared" si="1"/>
        <v>99</v>
      </c>
      <c r="I42" s="3" t="s">
        <v>114</v>
      </c>
    </row>
    <row r="43" spans="1:8" ht="12.75">
      <c r="A43" s="4" t="s">
        <v>108</v>
      </c>
      <c r="B43" s="5">
        <v>0.1357</v>
      </c>
      <c r="C43" s="5">
        <v>0.19</v>
      </c>
      <c r="D43" s="87">
        <v>32</v>
      </c>
      <c r="E43" s="87">
        <v>40</v>
      </c>
      <c r="G43" s="3">
        <f t="shared" si="0"/>
        <v>154</v>
      </c>
      <c r="H43" s="3">
        <f t="shared" si="1"/>
        <v>154</v>
      </c>
    </row>
    <row r="44" spans="1:8" ht="12.75">
      <c r="A44" s="4" t="s">
        <v>32</v>
      </c>
      <c r="B44" s="5">
        <v>0.135</v>
      </c>
      <c r="C44" s="5">
        <v>0.189</v>
      </c>
      <c r="D44" s="87">
        <v>160</v>
      </c>
      <c r="E44" s="87">
        <v>175</v>
      </c>
      <c r="F44" s="3">
        <v>24</v>
      </c>
      <c r="G44" s="3">
        <f t="shared" si="0"/>
        <v>22</v>
      </c>
      <c r="H44" s="3">
        <f t="shared" si="1"/>
        <v>24</v>
      </c>
    </row>
    <row r="45" spans="1:8" ht="12.75">
      <c r="A45" s="4" t="s">
        <v>33</v>
      </c>
      <c r="B45" s="5">
        <v>0.0741</v>
      </c>
      <c r="C45" s="5">
        <v>0.1037</v>
      </c>
      <c r="D45" s="87">
        <v>18</v>
      </c>
      <c r="E45" s="87">
        <v>36</v>
      </c>
      <c r="F45" s="3">
        <v>83</v>
      </c>
      <c r="G45" s="3">
        <f t="shared" si="0"/>
        <v>77</v>
      </c>
      <c r="H45" s="3">
        <f t="shared" si="1"/>
        <v>83</v>
      </c>
    </row>
    <row r="46" spans="1:8" ht="12.75">
      <c r="A46" s="4" t="s">
        <v>34</v>
      </c>
      <c r="B46" s="5">
        <v>0.138</v>
      </c>
      <c r="C46" s="5">
        <v>0.1932</v>
      </c>
      <c r="D46" s="87">
        <v>60</v>
      </c>
      <c r="E46" s="87">
        <v>60</v>
      </c>
      <c r="F46" s="3">
        <v>139</v>
      </c>
      <c r="G46" s="3">
        <f t="shared" si="0"/>
        <v>134</v>
      </c>
      <c r="H46" s="3">
        <f t="shared" si="1"/>
        <v>139</v>
      </c>
    </row>
    <row r="47" spans="1:9" ht="12.75">
      <c r="A47" s="4" t="s">
        <v>35</v>
      </c>
      <c r="B47" s="5">
        <v>0.1357</v>
      </c>
      <c r="C47" s="5">
        <v>0.1899</v>
      </c>
      <c r="D47" s="87">
        <v>205</v>
      </c>
      <c r="E47" s="87">
        <v>205</v>
      </c>
      <c r="F47" s="3">
        <v>-6</v>
      </c>
      <c r="G47" s="3">
        <f t="shared" si="0"/>
        <v>-16</v>
      </c>
      <c r="H47" s="3">
        <f t="shared" si="1"/>
        <v>-6</v>
      </c>
      <c r="I47" s="3" t="s">
        <v>118</v>
      </c>
    </row>
    <row r="48" spans="1:8" ht="12.75">
      <c r="A48" s="4" t="s">
        <v>36</v>
      </c>
      <c r="B48" s="5">
        <v>0.139</v>
      </c>
      <c r="C48" s="5">
        <v>0.1946</v>
      </c>
      <c r="D48" s="87">
        <v>73</v>
      </c>
      <c r="E48" s="87">
        <v>79</v>
      </c>
      <c r="G48" s="3">
        <f t="shared" si="0"/>
        <v>119</v>
      </c>
      <c r="H48" s="3">
        <f t="shared" si="1"/>
        <v>119</v>
      </c>
    </row>
    <row r="49" spans="1:9" ht="12.75">
      <c r="A49" s="4" t="s">
        <v>37</v>
      </c>
      <c r="B49" s="5">
        <v>0.136</v>
      </c>
      <c r="C49" s="5">
        <v>0.1904</v>
      </c>
      <c r="D49" s="87">
        <v>103</v>
      </c>
      <c r="E49" s="87">
        <v>130</v>
      </c>
      <c r="F49" s="3">
        <v>69</v>
      </c>
      <c r="G49" s="3">
        <f t="shared" si="0"/>
        <v>74</v>
      </c>
      <c r="H49" s="3">
        <f t="shared" si="1"/>
        <v>69</v>
      </c>
      <c r="I49" s="3" t="s">
        <v>126</v>
      </c>
    </row>
    <row r="50" spans="1:8" ht="12.75">
      <c r="A50" s="4" t="s">
        <v>38</v>
      </c>
      <c r="B50" s="5">
        <v>0.128</v>
      </c>
      <c r="C50" s="5">
        <v>0.1792</v>
      </c>
      <c r="D50" s="87">
        <v>55</v>
      </c>
      <c r="E50" s="87">
        <v>65</v>
      </c>
      <c r="G50" s="3">
        <f t="shared" si="0"/>
        <v>120</v>
      </c>
      <c r="H50" s="3">
        <f t="shared" si="1"/>
        <v>120</v>
      </c>
    </row>
    <row r="51" spans="1:8" ht="12.75">
      <c r="A51" s="4" t="s">
        <v>104</v>
      </c>
      <c r="B51" s="5">
        <v>0.1371</v>
      </c>
      <c r="C51" s="5">
        <v>0.192</v>
      </c>
      <c r="D51" s="87">
        <v>43</v>
      </c>
      <c r="E51" s="87">
        <v>50</v>
      </c>
      <c r="G51" s="3">
        <f t="shared" si="0"/>
        <v>146</v>
      </c>
      <c r="H51" s="3">
        <f t="shared" si="1"/>
        <v>146</v>
      </c>
    </row>
    <row r="52" spans="1:8" ht="12.75">
      <c r="A52" s="4" t="s">
        <v>105</v>
      </c>
      <c r="B52" s="5">
        <v>0.1207</v>
      </c>
      <c r="C52" s="5">
        <v>0.169</v>
      </c>
      <c r="D52" s="87">
        <v>92</v>
      </c>
      <c r="E52" s="87">
        <v>92</v>
      </c>
      <c r="G52" s="3">
        <f t="shared" si="0"/>
        <v>77</v>
      </c>
      <c r="H52" s="3">
        <f t="shared" si="1"/>
        <v>77</v>
      </c>
    </row>
    <row r="53" spans="1:8" ht="12.75">
      <c r="A53" s="4" t="s">
        <v>39</v>
      </c>
      <c r="B53" s="5">
        <v>0.14</v>
      </c>
      <c r="C53" s="5">
        <v>0.196</v>
      </c>
      <c r="D53" s="87">
        <v>45</v>
      </c>
      <c r="E53" s="87">
        <v>65</v>
      </c>
      <c r="G53" s="3">
        <f t="shared" si="0"/>
        <v>141</v>
      </c>
      <c r="H53" s="3">
        <f t="shared" si="1"/>
        <v>141</v>
      </c>
    </row>
    <row r="54" spans="1:9" ht="12.75">
      <c r="A54" s="4" t="s">
        <v>40</v>
      </c>
      <c r="B54" s="5">
        <v>0.1241</v>
      </c>
      <c r="C54" s="5">
        <v>0.1737</v>
      </c>
      <c r="D54" s="87">
        <v>105</v>
      </c>
      <c r="E54" s="87">
        <v>120</v>
      </c>
      <c r="F54" s="3">
        <v>56</v>
      </c>
      <c r="G54" s="3">
        <f t="shared" si="0"/>
        <v>62</v>
      </c>
      <c r="H54" s="3">
        <f t="shared" si="1"/>
        <v>56</v>
      </c>
      <c r="I54" s="3" t="s">
        <v>115</v>
      </c>
    </row>
    <row r="55" spans="1:8" ht="12.75">
      <c r="A55" s="4" t="s">
        <v>41</v>
      </c>
      <c r="B55" s="5">
        <v>0.1359</v>
      </c>
      <c r="C55" s="5">
        <v>0.1902</v>
      </c>
      <c r="D55" s="87">
        <v>72</v>
      </c>
      <c r="E55" s="87">
        <v>72</v>
      </c>
      <c r="F55" s="3">
        <v>124</v>
      </c>
      <c r="G55" s="3">
        <f t="shared" si="0"/>
        <v>119</v>
      </c>
      <c r="H55" s="3">
        <f t="shared" si="1"/>
        <v>124</v>
      </c>
    </row>
    <row r="56" spans="1:8" ht="12.75">
      <c r="A56" s="4" t="s">
        <v>42</v>
      </c>
      <c r="B56" s="5">
        <v>0.1387</v>
      </c>
      <c r="C56" s="5">
        <v>0.1941</v>
      </c>
      <c r="D56" s="87">
        <v>84</v>
      </c>
      <c r="E56" s="87">
        <v>94</v>
      </c>
      <c r="F56" s="3">
        <v>124</v>
      </c>
      <c r="G56" s="3">
        <f t="shared" si="0"/>
        <v>106</v>
      </c>
      <c r="H56" s="3">
        <f t="shared" si="1"/>
        <v>124</v>
      </c>
    </row>
    <row r="57" spans="1:8" ht="12.75">
      <c r="A57" s="4" t="s">
        <v>43</v>
      </c>
      <c r="B57" s="5">
        <v>0.116</v>
      </c>
      <c r="C57" s="5">
        <v>0.1624</v>
      </c>
      <c r="G57" s="3">
        <f t="shared" si="0"/>
      </c>
      <c r="H57" s="3">
        <f t="shared" si="1"/>
      </c>
    </row>
    <row r="58" spans="1:8" ht="12.75">
      <c r="A58" s="4" t="s">
        <v>44</v>
      </c>
      <c r="B58" s="5">
        <v>0.134</v>
      </c>
      <c r="C58" s="5">
        <v>0.1876</v>
      </c>
      <c r="D58" s="87">
        <v>79</v>
      </c>
      <c r="E58" s="87">
        <v>95</v>
      </c>
      <c r="F58" s="3">
        <v>109</v>
      </c>
      <c r="G58" s="3">
        <f t="shared" si="0"/>
        <v>101</v>
      </c>
      <c r="H58" s="3">
        <f t="shared" si="1"/>
        <v>109</v>
      </c>
    </row>
    <row r="59" spans="1:8" ht="12.75">
      <c r="A59" s="4" t="s">
        <v>111</v>
      </c>
      <c r="B59" s="5">
        <v>0.139</v>
      </c>
      <c r="C59" s="5">
        <v>0.1946</v>
      </c>
      <c r="D59" s="87">
        <v>90</v>
      </c>
      <c r="E59" s="87">
        <v>103</v>
      </c>
      <c r="F59" s="3">
        <v>128</v>
      </c>
      <c r="G59" s="3">
        <f t="shared" si="0"/>
        <v>99</v>
      </c>
      <c r="H59" s="3">
        <f t="shared" si="1"/>
        <v>128</v>
      </c>
    </row>
    <row r="60" spans="1:8" ht="12.75">
      <c r="A60" s="4" t="s">
        <v>47</v>
      </c>
      <c r="B60" s="5">
        <v>0.141</v>
      </c>
      <c r="C60" s="5">
        <v>0.1974</v>
      </c>
      <c r="D60" s="87">
        <v>45</v>
      </c>
      <c r="E60" s="87">
        <v>57</v>
      </c>
      <c r="F60" s="3">
        <v>145</v>
      </c>
      <c r="G60" s="3">
        <f t="shared" si="0"/>
        <v>147</v>
      </c>
      <c r="H60" s="3">
        <f t="shared" si="1"/>
        <v>145</v>
      </c>
    </row>
    <row r="61" spans="1:8" ht="12.75">
      <c r="A61" s="4" t="s">
        <v>45</v>
      </c>
      <c r="B61" s="5">
        <v>0.156</v>
      </c>
      <c r="C61" s="5">
        <v>0.2184</v>
      </c>
      <c r="D61" s="87">
        <v>37</v>
      </c>
      <c r="E61" s="87">
        <v>42</v>
      </c>
      <c r="F61" s="3">
        <v>183</v>
      </c>
      <c r="G61" s="3">
        <f t="shared" si="0"/>
        <v>179</v>
      </c>
      <c r="H61" s="3">
        <f t="shared" si="1"/>
        <v>183</v>
      </c>
    </row>
    <row r="62" spans="1:8" ht="12.75">
      <c r="A62" s="4" t="s">
        <v>46</v>
      </c>
      <c r="B62" s="5">
        <v>0.156</v>
      </c>
      <c r="C62" s="5">
        <v>0.2184</v>
      </c>
      <c r="D62" s="87">
        <v>37</v>
      </c>
      <c r="E62" s="87">
        <v>42</v>
      </c>
      <c r="F62" s="3">
        <v>183</v>
      </c>
      <c r="G62" s="3">
        <f t="shared" si="0"/>
        <v>179</v>
      </c>
      <c r="H62" s="3">
        <f t="shared" si="1"/>
        <v>183</v>
      </c>
    </row>
    <row r="63" spans="1:8" ht="12.75">
      <c r="A63" s="4" t="s">
        <v>48</v>
      </c>
      <c r="B63" s="5">
        <v>0.141</v>
      </c>
      <c r="C63" s="5">
        <v>0.1974</v>
      </c>
      <c r="D63" s="87">
        <v>37</v>
      </c>
      <c r="E63" s="87">
        <v>45</v>
      </c>
      <c r="G63" s="3">
        <f t="shared" si="0"/>
        <v>157</v>
      </c>
      <c r="H63" s="3">
        <f t="shared" si="1"/>
        <v>157</v>
      </c>
    </row>
    <row r="64" spans="1:8" ht="12.75">
      <c r="A64" s="4" t="s">
        <v>119</v>
      </c>
      <c r="B64" s="5">
        <v>0.137</v>
      </c>
      <c r="C64" s="5">
        <v>0.192</v>
      </c>
      <c r="D64" s="87">
        <v>108</v>
      </c>
      <c r="E64" s="87">
        <v>118</v>
      </c>
      <c r="F64" s="3">
        <v>96</v>
      </c>
      <c r="G64" s="3">
        <f aca="true" t="shared" si="3" ref="G64:G94">IF(AND(NOT(D64=""),NOT(E64="")),ROUNDUP((C64*1000)-((D64+E64)/2),0),"")</f>
        <v>79</v>
      </c>
      <c r="H64" s="3">
        <f t="shared" si="1"/>
        <v>96</v>
      </c>
    </row>
    <row r="65" spans="1:8" ht="12.75">
      <c r="A65" s="4" t="s">
        <v>49</v>
      </c>
      <c r="B65" s="5">
        <v>0.136</v>
      </c>
      <c r="C65" s="5">
        <v>0.1904</v>
      </c>
      <c r="D65" s="87">
        <v>93</v>
      </c>
      <c r="E65" s="87">
        <v>93</v>
      </c>
      <c r="F65" s="3">
        <v>99</v>
      </c>
      <c r="G65" s="3">
        <f t="shared" si="3"/>
        <v>98</v>
      </c>
      <c r="H65" s="3">
        <f t="shared" si="1"/>
        <v>99</v>
      </c>
    </row>
    <row r="66" spans="1:8" ht="12.75">
      <c r="A66" s="4" t="s">
        <v>50</v>
      </c>
      <c r="B66" s="5">
        <v>0.1369</v>
      </c>
      <c r="C66" s="5">
        <v>0.1916</v>
      </c>
      <c r="D66" s="87">
        <v>185</v>
      </c>
      <c r="E66" s="87">
        <v>208</v>
      </c>
      <c r="G66" s="3">
        <f t="shared" si="3"/>
        <v>-5</v>
      </c>
      <c r="H66" s="3">
        <f aca="true" t="shared" si="4" ref="H66:H94">IF(F66="",G66,F66)</f>
        <v>-5</v>
      </c>
    </row>
    <row r="67" spans="1:8" ht="12.75">
      <c r="A67" s="4" t="s">
        <v>101</v>
      </c>
      <c r="B67" s="5">
        <v>0.1328</v>
      </c>
      <c r="C67" s="5">
        <v>0.1863</v>
      </c>
      <c r="D67" s="87">
        <v>93</v>
      </c>
      <c r="E67" s="87">
        <v>96</v>
      </c>
      <c r="G67" s="3">
        <f t="shared" si="3"/>
        <v>92</v>
      </c>
      <c r="H67" s="3">
        <f t="shared" si="4"/>
        <v>92</v>
      </c>
    </row>
    <row r="68" spans="1:8" ht="12.75">
      <c r="A68" s="4" t="s">
        <v>51</v>
      </c>
      <c r="B68" s="5">
        <v>0.1383</v>
      </c>
      <c r="C68" s="5">
        <v>0.1936</v>
      </c>
      <c r="D68" s="87">
        <v>140</v>
      </c>
      <c r="E68" s="87">
        <v>140</v>
      </c>
      <c r="G68" s="3">
        <f t="shared" si="3"/>
        <v>54</v>
      </c>
      <c r="H68" s="3">
        <f t="shared" si="4"/>
        <v>54</v>
      </c>
    </row>
    <row r="69" spans="1:8" ht="12.75">
      <c r="A69" s="4" t="s">
        <v>52</v>
      </c>
      <c r="B69" s="5">
        <v>0.1331</v>
      </c>
      <c r="C69" s="5">
        <v>0.1863</v>
      </c>
      <c r="D69" s="87">
        <v>110</v>
      </c>
      <c r="E69" s="87">
        <v>130</v>
      </c>
      <c r="G69" s="3">
        <f t="shared" si="3"/>
        <v>67</v>
      </c>
      <c r="H69" s="3">
        <f t="shared" si="4"/>
        <v>67</v>
      </c>
    </row>
    <row r="70" spans="1:9" ht="12.75">
      <c r="A70" s="4" t="s">
        <v>53</v>
      </c>
      <c r="B70" s="5">
        <v>0.124</v>
      </c>
      <c r="C70" s="5">
        <v>0.1736</v>
      </c>
      <c r="D70" s="87">
        <v>105</v>
      </c>
      <c r="E70" s="87">
        <v>120</v>
      </c>
      <c r="F70" s="3">
        <v>56</v>
      </c>
      <c r="G70" s="3">
        <f t="shared" si="3"/>
        <v>62</v>
      </c>
      <c r="H70" s="3">
        <f t="shared" si="4"/>
        <v>56</v>
      </c>
      <c r="I70" s="3" t="s">
        <v>115</v>
      </c>
    </row>
    <row r="71" spans="1:9" ht="12.75">
      <c r="A71" s="4" t="s">
        <v>54</v>
      </c>
      <c r="B71" s="5">
        <v>0.124</v>
      </c>
      <c r="C71" s="5">
        <v>0.1736</v>
      </c>
      <c r="D71" s="87">
        <v>105</v>
      </c>
      <c r="E71" s="87">
        <v>120</v>
      </c>
      <c r="F71" s="3">
        <v>56</v>
      </c>
      <c r="G71" s="3">
        <f t="shared" si="3"/>
        <v>62</v>
      </c>
      <c r="H71" s="3">
        <f t="shared" si="4"/>
        <v>56</v>
      </c>
      <c r="I71" s="3" t="s">
        <v>115</v>
      </c>
    </row>
    <row r="72" spans="1:8" ht="12.75">
      <c r="A72" s="4" t="s">
        <v>55</v>
      </c>
      <c r="B72" s="5">
        <v>0.124</v>
      </c>
      <c r="C72" s="5">
        <v>0.1736</v>
      </c>
      <c r="D72" s="87">
        <v>105</v>
      </c>
      <c r="E72" s="87">
        <v>120</v>
      </c>
      <c r="F72" s="3">
        <v>56</v>
      </c>
      <c r="G72" s="3">
        <f t="shared" si="3"/>
        <v>62</v>
      </c>
      <c r="H72" s="3">
        <f t="shared" si="4"/>
        <v>56</v>
      </c>
    </row>
    <row r="73" spans="1:8" ht="12.75">
      <c r="A73" s="4" t="s">
        <v>56</v>
      </c>
      <c r="B73" s="5">
        <v>0.128</v>
      </c>
      <c r="C73" s="5">
        <v>0.1792</v>
      </c>
      <c r="D73" s="87">
        <v>110</v>
      </c>
      <c r="E73" s="87">
        <v>110</v>
      </c>
      <c r="G73" s="3">
        <f t="shared" si="3"/>
        <v>70</v>
      </c>
      <c r="H73" s="3">
        <f t="shared" si="4"/>
        <v>70</v>
      </c>
    </row>
    <row r="74" spans="1:9" ht="12.75">
      <c r="A74" s="4" t="s">
        <v>57</v>
      </c>
      <c r="B74" s="5">
        <v>0.1286</v>
      </c>
      <c r="C74" s="5">
        <v>0.18</v>
      </c>
      <c r="D74" s="87">
        <v>82</v>
      </c>
      <c r="E74" s="87">
        <v>90</v>
      </c>
      <c r="F74" s="3">
        <v>95</v>
      </c>
      <c r="G74" s="3">
        <f t="shared" si="3"/>
        <v>94</v>
      </c>
      <c r="H74" s="3">
        <f t="shared" si="4"/>
        <v>95</v>
      </c>
      <c r="I74" s="3" t="s">
        <v>120</v>
      </c>
    </row>
    <row r="75" spans="1:8" ht="12.75">
      <c r="A75" s="4" t="s">
        <v>102</v>
      </c>
      <c r="B75" s="5">
        <v>0.1378</v>
      </c>
      <c r="C75" s="5">
        <v>0.193</v>
      </c>
      <c r="D75" s="87">
        <v>170</v>
      </c>
      <c r="E75" s="87">
        <v>185</v>
      </c>
      <c r="G75" s="3">
        <f t="shared" si="3"/>
        <v>16</v>
      </c>
      <c r="H75" s="3">
        <f t="shared" si="4"/>
        <v>16</v>
      </c>
    </row>
    <row r="76" spans="1:8" ht="12.75">
      <c r="A76" s="4" t="s">
        <v>58</v>
      </c>
      <c r="B76" s="5">
        <v>0.136</v>
      </c>
      <c r="C76" s="5">
        <v>0.1904</v>
      </c>
      <c r="D76" s="87">
        <v>150</v>
      </c>
      <c r="E76" s="87">
        <v>150</v>
      </c>
      <c r="F76" s="3">
        <v>47</v>
      </c>
      <c r="G76" s="3">
        <f t="shared" si="3"/>
        <v>41</v>
      </c>
      <c r="H76" s="3">
        <f t="shared" si="4"/>
        <v>47</v>
      </c>
    </row>
    <row r="77" spans="1:8" ht="12.75">
      <c r="A77" s="4" t="s">
        <v>129</v>
      </c>
      <c r="B77" s="5">
        <v>0.1306</v>
      </c>
      <c r="C77" s="5">
        <v>0.1832</v>
      </c>
      <c r="D77" s="87">
        <v>35</v>
      </c>
      <c r="E77" s="87">
        <v>43</v>
      </c>
      <c r="G77" s="3">
        <f>IF(AND(NOT(D77=""),NOT(E77="")),ROUNDUP((C77*1000)-((D77+E77)/2),0),"")</f>
        <v>145</v>
      </c>
      <c r="H77" s="3">
        <f>IF(F77="",G77,F77)</f>
        <v>145</v>
      </c>
    </row>
    <row r="78" spans="1:8" ht="12.75">
      <c r="A78" s="4" t="s">
        <v>59</v>
      </c>
      <c r="B78" s="5">
        <v>0.133</v>
      </c>
      <c r="C78" s="5">
        <v>0.1862</v>
      </c>
      <c r="D78" s="87">
        <v>105</v>
      </c>
      <c r="E78" s="87">
        <v>115</v>
      </c>
      <c r="F78" s="3">
        <v>81</v>
      </c>
      <c r="G78" s="3">
        <f t="shared" si="3"/>
        <v>77</v>
      </c>
      <c r="H78" s="3">
        <f t="shared" si="4"/>
        <v>81</v>
      </c>
    </row>
    <row r="79" spans="1:8" ht="12.75">
      <c r="A79" s="4" t="s">
        <v>60</v>
      </c>
      <c r="B79" s="5">
        <v>0.128</v>
      </c>
      <c r="C79" s="5">
        <v>0.1792</v>
      </c>
      <c r="D79" s="87">
        <v>55</v>
      </c>
      <c r="E79" s="87">
        <v>71</v>
      </c>
      <c r="F79" s="3">
        <v>116</v>
      </c>
      <c r="G79" s="3">
        <f t="shared" si="3"/>
        <v>117</v>
      </c>
      <c r="H79" s="3">
        <f t="shared" si="4"/>
        <v>116</v>
      </c>
    </row>
    <row r="80" spans="1:8" ht="12.75">
      <c r="A80" s="4" t="s">
        <v>61</v>
      </c>
      <c r="B80" s="5">
        <v>0.136</v>
      </c>
      <c r="C80" s="5">
        <v>0.1904</v>
      </c>
      <c r="D80" s="87">
        <v>90</v>
      </c>
      <c r="E80" s="87">
        <v>95</v>
      </c>
      <c r="F80" s="3">
        <v>115</v>
      </c>
      <c r="G80" s="3">
        <f t="shared" si="3"/>
        <v>98</v>
      </c>
      <c r="H80" s="3">
        <f t="shared" si="4"/>
        <v>115</v>
      </c>
    </row>
    <row r="81" spans="1:8" ht="12.75">
      <c r="A81" s="4" t="s">
        <v>62</v>
      </c>
      <c r="B81" s="5">
        <v>0.135</v>
      </c>
      <c r="C81" s="5">
        <v>0.189</v>
      </c>
      <c r="D81" s="87">
        <v>124</v>
      </c>
      <c r="E81" s="87">
        <v>132</v>
      </c>
      <c r="F81" s="3">
        <v>61</v>
      </c>
      <c r="G81" s="3">
        <f t="shared" si="3"/>
        <v>61</v>
      </c>
      <c r="H81" s="3">
        <f t="shared" si="4"/>
        <v>61</v>
      </c>
    </row>
    <row r="82" spans="1:8" ht="12.75">
      <c r="A82" s="4" t="s">
        <v>63</v>
      </c>
      <c r="B82" s="5">
        <v>0.134</v>
      </c>
      <c r="C82" s="5">
        <v>0.1876</v>
      </c>
      <c r="D82" s="87">
        <v>136</v>
      </c>
      <c r="E82" s="87">
        <v>136</v>
      </c>
      <c r="F82" s="3">
        <v>63</v>
      </c>
      <c r="G82" s="3">
        <f t="shared" si="3"/>
        <v>52</v>
      </c>
      <c r="H82" s="3">
        <f t="shared" si="4"/>
        <v>63</v>
      </c>
    </row>
    <row r="83" spans="1:9" ht="12.75">
      <c r="A83" s="4" t="s">
        <v>64</v>
      </c>
      <c r="B83" s="5">
        <v>0.134</v>
      </c>
      <c r="C83" s="5">
        <v>0.1876</v>
      </c>
      <c r="D83" s="87">
        <v>79</v>
      </c>
      <c r="E83" s="87">
        <v>95</v>
      </c>
      <c r="F83" s="3">
        <v>109</v>
      </c>
      <c r="G83" s="3">
        <f t="shared" si="3"/>
        <v>101</v>
      </c>
      <c r="H83" s="3">
        <f t="shared" si="4"/>
        <v>109</v>
      </c>
      <c r="I83" s="3" t="s">
        <v>131</v>
      </c>
    </row>
    <row r="84" spans="1:8" ht="12.75">
      <c r="A84" s="4" t="s">
        <v>65</v>
      </c>
      <c r="B84" s="5">
        <v>0.139</v>
      </c>
      <c r="C84" s="5">
        <v>0.1946</v>
      </c>
      <c r="G84" s="3">
        <f t="shared" si="3"/>
      </c>
      <c r="H84" s="3">
        <f t="shared" si="4"/>
      </c>
    </row>
    <row r="85" spans="1:8" ht="12.75">
      <c r="A85" s="4" t="s">
        <v>66</v>
      </c>
      <c r="B85" s="5">
        <v>0.1405</v>
      </c>
      <c r="C85" s="5">
        <v>0.1967</v>
      </c>
      <c r="D85" s="87">
        <v>43</v>
      </c>
      <c r="E85" s="87">
        <v>47</v>
      </c>
      <c r="F85" s="3">
        <v>147</v>
      </c>
      <c r="G85" s="3">
        <f t="shared" si="3"/>
        <v>152</v>
      </c>
      <c r="H85" s="3">
        <f t="shared" si="4"/>
        <v>147</v>
      </c>
    </row>
    <row r="86" spans="1:8" ht="12.75">
      <c r="A86" s="4" t="s">
        <v>67</v>
      </c>
      <c r="B86" s="5">
        <v>0.1345</v>
      </c>
      <c r="C86" s="5">
        <v>0.1883</v>
      </c>
      <c r="H86" s="3">
        <f>IF(F86="",IF(NOT(G86=""),G86,""),F86)</f>
      </c>
    </row>
    <row r="87" spans="1:8" ht="12.75">
      <c r="A87" s="4" t="s">
        <v>68</v>
      </c>
      <c r="B87" s="5">
        <v>0.1379</v>
      </c>
      <c r="C87" s="5">
        <v>0.193</v>
      </c>
      <c r="F87" s="3">
        <v>166</v>
      </c>
      <c r="G87" s="3">
        <f t="shared" si="3"/>
      </c>
      <c r="H87" s="3">
        <f t="shared" si="4"/>
        <v>166</v>
      </c>
    </row>
    <row r="88" spans="1:8" ht="12.75">
      <c r="A88" s="4" t="s">
        <v>69</v>
      </c>
      <c r="B88" s="5">
        <v>0.1383</v>
      </c>
      <c r="C88" s="5">
        <v>0.1936</v>
      </c>
      <c r="F88" s="3">
        <v>156</v>
      </c>
      <c r="G88" s="3">
        <f t="shared" si="3"/>
      </c>
      <c r="H88" s="3">
        <f t="shared" si="4"/>
        <v>156</v>
      </c>
    </row>
    <row r="89" spans="1:8" ht="12.75">
      <c r="A89" s="4" t="s">
        <v>70</v>
      </c>
      <c r="B89" s="5">
        <v>0.1383</v>
      </c>
      <c r="C89" s="5">
        <v>0.1936</v>
      </c>
      <c r="F89" s="3">
        <v>156</v>
      </c>
      <c r="G89" s="3">
        <f t="shared" si="3"/>
      </c>
      <c r="H89" s="3">
        <f t="shared" si="4"/>
        <v>156</v>
      </c>
    </row>
    <row r="90" spans="1:8" ht="12.75">
      <c r="A90" s="4" t="s">
        <v>109</v>
      </c>
      <c r="B90" s="5">
        <v>0.1357</v>
      </c>
      <c r="C90" s="5">
        <v>0.19</v>
      </c>
      <c r="D90" s="87">
        <v>108</v>
      </c>
      <c r="E90" s="87">
        <v>108</v>
      </c>
      <c r="G90" s="3">
        <f t="shared" si="3"/>
        <v>82</v>
      </c>
      <c r="H90" s="3">
        <f t="shared" si="4"/>
        <v>82</v>
      </c>
    </row>
    <row r="91" spans="1:9" ht="12.75">
      <c r="A91" s="4" t="s">
        <v>71</v>
      </c>
      <c r="B91" s="5">
        <v>0.137</v>
      </c>
      <c r="C91" s="5">
        <v>0.1918</v>
      </c>
      <c r="D91" s="87">
        <v>33</v>
      </c>
      <c r="E91" s="87">
        <v>44</v>
      </c>
      <c r="F91" s="3">
        <v>157</v>
      </c>
      <c r="G91" s="3">
        <f t="shared" si="3"/>
        <v>154</v>
      </c>
      <c r="H91" s="3">
        <f t="shared" si="4"/>
        <v>157</v>
      </c>
      <c r="I91" s="3" t="s">
        <v>130</v>
      </c>
    </row>
    <row r="92" spans="1:8" ht="12.75">
      <c r="A92" s="4" t="s">
        <v>72</v>
      </c>
      <c r="B92" s="5">
        <v>0.1377</v>
      </c>
      <c r="C92" s="5">
        <v>0.1927</v>
      </c>
      <c r="D92" s="87">
        <v>163</v>
      </c>
      <c r="E92" s="87">
        <v>173</v>
      </c>
      <c r="G92" s="3">
        <f t="shared" si="3"/>
        <v>25</v>
      </c>
      <c r="H92" s="3">
        <f t="shared" si="4"/>
        <v>25</v>
      </c>
    </row>
    <row r="93" spans="1:8" ht="12.75">
      <c r="A93" s="4" t="s">
        <v>73</v>
      </c>
      <c r="B93" s="5">
        <v>0.1353</v>
      </c>
      <c r="C93" s="5">
        <v>0.1894</v>
      </c>
      <c r="D93" s="87">
        <v>140</v>
      </c>
      <c r="E93" s="87">
        <v>150</v>
      </c>
      <c r="G93" s="3">
        <f t="shared" si="3"/>
        <v>45</v>
      </c>
      <c r="H93" s="3">
        <f t="shared" si="4"/>
        <v>45</v>
      </c>
    </row>
    <row r="94" spans="1:8" ht="12.75">
      <c r="A94" s="6" t="s">
        <v>74</v>
      </c>
      <c r="B94" s="5">
        <v>0.131</v>
      </c>
      <c r="C94" s="5">
        <v>0.1834</v>
      </c>
      <c r="D94" s="87">
        <v>115</v>
      </c>
      <c r="E94" s="87">
        <v>140</v>
      </c>
      <c r="F94" s="3">
        <v>58</v>
      </c>
      <c r="G94" s="3">
        <f t="shared" si="3"/>
        <v>56</v>
      </c>
      <c r="H94" s="3">
        <f t="shared" si="4"/>
        <v>58</v>
      </c>
    </row>
  </sheetData>
  <mergeCells count="1">
    <mergeCell ref="D1:E1"/>
  </mergeCells>
  <printOptions gridLines="1"/>
  <pageMargins left="0.75" right="0.75" top="1" bottom="1" header="0.5" footer="0.5"/>
  <pageSetup blackAndWhite="1" draft="1" fitToHeight="1" fitToWidth="1" horizontalDpi="600" verticalDpi="600" orientation="landscape" scale="87" r:id="rId1"/>
</worksheet>
</file>

<file path=xl/worksheets/sheet2.xml><?xml version="1.0" encoding="utf-8"?>
<worksheet xmlns="http://schemas.openxmlformats.org/spreadsheetml/2006/main" xmlns:r="http://schemas.openxmlformats.org/officeDocument/2006/relationships">
  <sheetPr codeName="Sheet2">
    <pageSetUpPr fitToPage="1"/>
  </sheetPr>
  <dimension ref="B2:N36"/>
  <sheetViews>
    <sheetView tabSelected="1" workbookViewId="0" topLeftCell="A1">
      <selection activeCell="A1" sqref="A1"/>
    </sheetView>
  </sheetViews>
  <sheetFormatPr defaultColWidth="9.140625" defaultRowHeight="12.75"/>
  <cols>
    <col min="1" max="1" width="9.140625" style="7" customWidth="1"/>
    <col min="2" max="2" width="20.00390625" style="7" bestFit="1" customWidth="1"/>
    <col min="3" max="3" width="11.57421875" style="7" bestFit="1" customWidth="1"/>
    <col min="4" max="4" width="8.8515625" style="8" bestFit="1" customWidth="1"/>
    <col min="5" max="5" width="6.28125" style="9" customWidth="1"/>
    <col min="6" max="6" width="6.7109375" style="10" customWidth="1"/>
    <col min="7" max="7" width="9.140625" style="7" customWidth="1"/>
    <col min="8" max="8" width="8.8515625" style="7" customWidth="1"/>
    <col min="9" max="9" width="20.00390625" style="7" customWidth="1"/>
    <col min="10" max="10" width="11.57421875" style="7" customWidth="1"/>
    <col min="11" max="11" width="10.140625" style="7" customWidth="1"/>
    <col min="12" max="12" width="8.57421875" style="7" customWidth="1"/>
    <col min="13" max="13" width="20.00390625" style="7" customWidth="1"/>
    <col min="14" max="16384" width="9.140625" style="7" customWidth="1"/>
  </cols>
  <sheetData>
    <row r="2" spans="2:8" ht="12.75">
      <c r="B2" s="11" t="s">
        <v>91</v>
      </c>
      <c r="C2" s="122"/>
      <c r="D2" s="122"/>
      <c r="E2" s="122"/>
      <c r="F2" s="122"/>
      <c r="G2" s="122"/>
      <c r="H2" s="123"/>
    </row>
    <row r="3" spans="2:7" ht="12.75">
      <c r="B3" s="11"/>
      <c r="C3" s="12"/>
      <c r="D3" s="12"/>
      <c r="E3" s="12"/>
      <c r="F3" s="12"/>
      <c r="G3" s="12"/>
    </row>
    <row r="4" spans="2:7" ht="12.75">
      <c r="B4" s="11" t="s">
        <v>134</v>
      </c>
      <c r="C4" s="12" t="s">
        <v>136</v>
      </c>
      <c r="D4" s="122" t="str">
        <f>IF(C4="NaOH","(Bar Soap)","(Liquid Soap)")</f>
        <v>(Liquid Soap)</v>
      </c>
      <c r="E4" s="122"/>
      <c r="F4" s="12"/>
      <c r="G4" s="12"/>
    </row>
    <row r="5" spans="2:7" ht="12.75">
      <c r="B5" s="11"/>
      <c r="C5" s="12"/>
      <c r="D5" s="12"/>
      <c r="E5" s="12"/>
      <c r="F5" s="12"/>
      <c r="G5" s="12"/>
    </row>
    <row r="6" spans="2:7" ht="12.75">
      <c r="B6" s="11" t="s">
        <v>133</v>
      </c>
      <c r="C6" s="94">
        <f>IF(NOT(SUM(C9:C21)=0),ROUND(SUM(M9:M21)/SUM(N9:N21),0),"")</f>
        <v>153</v>
      </c>
      <c r="D6" s="12"/>
      <c r="E6" s="12"/>
      <c r="F6" s="12"/>
      <c r="G6" s="12"/>
    </row>
    <row r="7" spans="2:7" ht="12.75">
      <c r="B7" s="11"/>
      <c r="C7" s="12"/>
      <c r="D7" s="12"/>
      <c r="E7" s="12"/>
      <c r="F7" s="12"/>
      <c r="G7" s="12"/>
    </row>
    <row r="8" spans="2:13" ht="12.75">
      <c r="B8" s="13" t="s">
        <v>0</v>
      </c>
      <c r="C8" s="14" t="s">
        <v>141</v>
      </c>
      <c r="D8" s="15" t="s">
        <v>75</v>
      </c>
      <c r="E8" s="16" t="s">
        <v>112</v>
      </c>
      <c r="F8" s="16" t="s">
        <v>76</v>
      </c>
      <c r="G8" s="17" t="str">
        <f>IF(C4="NaOH","g NaOH","Oz KOH")</f>
        <v>Oz KOH</v>
      </c>
      <c r="I8" s="13" t="s">
        <v>94</v>
      </c>
      <c r="J8" s="14" t="s">
        <v>86</v>
      </c>
      <c r="K8" s="15"/>
      <c r="L8" s="16"/>
      <c r="M8" s="17"/>
    </row>
    <row r="9" spans="2:14" ht="12.75">
      <c r="B9" s="37" t="s">
        <v>44</v>
      </c>
      <c r="C9" s="34">
        <v>381</v>
      </c>
      <c r="D9" s="41">
        <f>IF(C9="","",C9/C$22)</f>
        <v>0.7016574585635359</v>
      </c>
      <c r="E9" s="91">
        <f>IF(B9="","",VLOOKUP(B9,'SAP Values'!A$3:H$211,8,FALSE))</f>
        <v>109</v>
      </c>
      <c r="F9" s="42">
        <f>IF(B9="","",IF(C$4="NaOH",VLOOKUP(B9,'SAP Values'!A$3:B$211,2,FALSE),VLOOKUP(B9,'SAP Values'!A$3:C$211,3,FALSE)))</f>
        <v>0.1876</v>
      </c>
      <c r="G9" s="43">
        <f aca="true" t="shared" si="0" ref="G9:G21">IF(AND(NOT(C9=""),NOT(F9="")),C9*F9,"")</f>
        <v>71.4756</v>
      </c>
      <c r="I9" s="37"/>
      <c r="J9" s="34"/>
      <c r="K9" s="81">
        <f>IF(I9="","",VLOOKUP(I9,'SAP Values'!A$3:B$211,2,FALSE))</f>
      </c>
      <c r="L9" s="82">
        <f>IF(AND(NOT(J9=""),NOT(K9="")),J9*K9,"")</f>
      </c>
      <c r="M9" s="82">
        <f>IF(B9="","",IF(VLOOKUP(B9,'SAP Values'!A$3:H$211,8,FALSE)="",0,VLOOKUP(B9,'SAP Values'!A$3:H$211,8,FALSE))*C9)</f>
        <v>41529</v>
      </c>
      <c r="N9" s="95">
        <f>IF(OR(M9="",M9=0),0,C9)</f>
        <v>381</v>
      </c>
    </row>
    <row r="10" spans="2:14" ht="12.75">
      <c r="B10" s="38" t="s">
        <v>16</v>
      </c>
      <c r="C10" s="35">
        <v>162</v>
      </c>
      <c r="D10" s="44">
        <f aca="true" t="shared" si="1" ref="D10:D21">IF(C10="","",C10/C$22)</f>
        <v>0.2983425414364641</v>
      </c>
      <c r="E10" s="92">
        <f>IF(B10="","",VLOOKUP(B10,'SAP Values'!A$3:H$211,8,FALSE))</f>
        <v>258</v>
      </c>
      <c r="F10" s="45">
        <f>IF(B10="","",IF(C$4="NaOH",VLOOKUP(B10,'SAP Values'!A$3:B$211,2,FALSE),VLOOKUP(B10,'SAP Values'!A$3:C$211,3,FALSE)))</f>
        <v>0.266</v>
      </c>
      <c r="G10" s="46">
        <f t="shared" si="0"/>
        <v>43.092</v>
      </c>
      <c r="I10" s="38"/>
      <c r="J10" s="35"/>
      <c r="K10" s="81">
        <f>IF(I10="","",VLOOKUP(I10,'SAP Values'!A$3:B$211,2,FALSE))</f>
      </c>
      <c r="L10" s="82">
        <f aca="true" t="shared" si="2" ref="L10:L21">IF(AND(NOT(J10=""),NOT(K10="")),J10*K10,"")</f>
      </c>
      <c r="M10" s="82">
        <f>IF(B10="","",IF(VLOOKUP(B10,'SAP Values'!A$3:H$211,8,FALSE)="",0,VLOOKUP(B10,'SAP Values'!A$3:H$211,8,FALSE))*C10)</f>
        <v>41796</v>
      </c>
      <c r="N10" s="95">
        <f>IF(OR(M10="",M10=0),0,C10)</f>
        <v>162</v>
      </c>
    </row>
    <row r="11" spans="2:14" ht="12.75">
      <c r="B11" s="38"/>
      <c r="C11" s="35"/>
      <c r="D11" s="44">
        <f t="shared" si="1"/>
      </c>
      <c r="E11" s="92">
        <f>IF(B11="","",VLOOKUP(B11,'SAP Values'!A$3:H$211,8,FALSE))</f>
      </c>
      <c r="F11" s="45">
        <f>IF(B11="","",IF(C$4="NaOH",VLOOKUP(B11,'SAP Values'!A$3:B$211,2,FALSE),VLOOKUP(B11,'SAP Values'!A$3:C$211,3,FALSE)))</f>
      </c>
      <c r="G11" s="46">
        <f t="shared" si="0"/>
      </c>
      <c r="I11" s="38"/>
      <c r="J11" s="35"/>
      <c r="K11" s="81">
        <f>IF(I11="","",VLOOKUP(I11,'SAP Values'!A$3:B$211,2,FALSE))</f>
      </c>
      <c r="L11" s="82">
        <f t="shared" si="2"/>
      </c>
      <c r="M11" s="82">
        <f>IF(B11="","",IF(VLOOKUP(B11,'SAP Values'!A$3:H$211,8,FALSE)="",0,VLOOKUP(B11,'SAP Values'!A$3:H$211,8,FALSE))*C11)</f>
      </c>
      <c r="N11" s="95">
        <f>IF(OR(M11="",M11=0),0,C11)</f>
        <v>0</v>
      </c>
    </row>
    <row r="12" spans="2:14" ht="12.75">
      <c r="B12" s="38"/>
      <c r="C12" s="35"/>
      <c r="D12" s="44">
        <f t="shared" si="1"/>
      </c>
      <c r="E12" s="92">
        <f>IF(B12="","",VLOOKUP(B12,'SAP Values'!A$3:H$211,8,FALSE))</f>
      </c>
      <c r="F12" s="45">
        <f>IF(B12="","",IF(C$4="NaOH",VLOOKUP(B12,'SAP Values'!A$3:B$211,2,FALSE),VLOOKUP(B12,'SAP Values'!A$3:C$211,3,FALSE)))</f>
      </c>
      <c r="G12" s="46">
        <f t="shared" si="0"/>
      </c>
      <c r="I12" s="38"/>
      <c r="J12" s="35"/>
      <c r="K12" s="81">
        <f>IF(I12="","",VLOOKUP(I12,'SAP Values'!A$3:B$211,2,FALSE))</f>
      </c>
      <c r="L12" s="82">
        <f t="shared" si="2"/>
      </c>
      <c r="M12" s="82">
        <f>IF(B12="","",IF(VLOOKUP(B12,'SAP Values'!A$3:H$211,8,FALSE)="",0,VLOOKUP(B12,'SAP Values'!A$3:H$211,8,FALSE))*C12)</f>
      </c>
      <c r="N12" s="95">
        <f>IF(OR(M12="",M12=0),0,C12)</f>
        <v>0</v>
      </c>
    </row>
    <row r="13" spans="2:14" ht="12.75">
      <c r="B13" s="38"/>
      <c r="C13" s="35"/>
      <c r="D13" s="44">
        <f t="shared" si="1"/>
      </c>
      <c r="E13" s="92">
        <f>IF(B13="","",VLOOKUP(B13,'SAP Values'!A$3:H$211,8,FALSE))</f>
      </c>
      <c r="F13" s="45">
        <f>IF(B13="","",IF(C$4="NaOH",VLOOKUP(B13,'SAP Values'!A$3:B$211,2,FALSE),VLOOKUP(B13,'SAP Values'!A$3:C$211,3,FALSE)))</f>
      </c>
      <c r="G13" s="46">
        <f t="shared" si="0"/>
      </c>
      <c r="I13" s="38"/>
      <c r="J13" s="35"/>
      <c r="K13" s="81">
        <f>IF(I13="","",VLOOKUP(I13,'SAP Values'!A$3:B$211,2,FALSE))</f>
      </c>
      <c r="L13" s="82">
        <f t="shared" si="2"/>
      </c>
      <c r="M13" s="82">
        <f>IF(B13="","",IF(VLOOKUP(B13,'SAP Values'!A$3:H$211,8,FALSE)="",0,VLOOKUP(B13,'SAP Values'!A$3:H$211,8,FALSE))*C13)</f>
      </c>
      <c r="N13" s="95">
        <f aca="true" t="shared" si="3" ref="N13:N21">IF(OR(M13="",M13=0),0,C13)</f>
        <v>0</v>
      </c>
    </row>
    <row r="14" spans="2:14" ht="12.75">
      <c r="B14" s="38"/>
      <c r="C14" s="35"/>
      <c r="D14" s="44">
        <f t="shared" si="1"/>
      </c>
      <c r="E14" s="92">
        <f>IF(B14="","",VLOOKUP(B14,'SAP Values'!A$3:H$211,8,FALSE))</f>
      </c>
      <c r="F14" s="45">
        <f>IF(B14="","",IF(C$4="NaOH",VLOOKUP(B14,'SAP Values'!A$3:B$211,2,FALSE),VLOOKUP(B14,'SAP Values'!A$3:C$211,3,FALSE)))</f>
      </c>
      <c r="G14" s="46">
        <f t="shared" si="0"/>
      </c>
      <c r="I14" s="38"/>
      <c r="J14" s="35"/>
      <c r="K14" s="81">
        <f>IF(I14="","",VLOOKUP(I14,'SAP Values'!A$3:B$211,2,FALSE))</f>
      </c>
      <c r="L14" s="82">
        <f t="shared" si="2"/>
      </c>
      <c r="M14" s="82">
        <f>IF(B14="","",IF(VLOOKUP(B14,'SAP Values'!A$3:H$211,8,FALSE)="",0,VLOOKUP(B14,'SAP Values'!A$3:H$211,8,FALSE))*C14)</f>
      </c>
      <c r="N14" s="95">
        <f t="shared" si="3"/>
        <v>0</v>
      </c>
    </row>
    <row r="15" spans="2:14" ht="12.75">
      <c r="B15" s="38"/>
      <c r="C15" s="35"/>
      <c r="D15" s="44">
        <f t="shared" si="1"/>
      </c>
      <c r="E15" s="92">
        <f>IF(B15="","",VLOOKUP(B15,'SAP Values'!A$3:H$211,8,FALSE))</f>
      </c>
      <c r="F15" s="45">
        <f>IF(B15="","",IF(C$4="NaOH",VLOOKUP(B15,'SAP Values'!A$3:B$211,2,FALSE),VLOOKUP(B15,'SAP Values'!A$3:C$211,3,FALSE)))</f>
      </c>
      <c r="G15" s="46">
        <f t="shared" si="0"/>
      </c>
      <c r="I15" s="38"/>
      <c r="J15" s="35"/>
      <c r="K15" s="81">
        <f>IF(I15="","",VLOOKUP(I15,'SAP Values'!A$3:B$211,2,FALSE))</f>
      </c>
      <c r="L15" s="82">
        <f t="shared" si="2"/>
      </c>
      <c r="M15" s="82">
        <f>IF(B15="","",IF(VLOOKUP(B15,'SAP Values'!A$3:H$211,8,FALSE)="",0,VLOOKUP(B15,'SAP Values'!A$3:H$211,8,FALSE))*C15)</f>
      </c>
      <c r="N15" s="95">
        <f t="shared" si="3"/>
        <v>0</v>
      </c>
    </row>
    <row r="16" spans="2:14" ht="12.75">
      <c r="B16" s="38"/>
      <c r="C16" s="35"/>
      <c r="D16" s="44">
        <f t="shared" si="1"/>
      </c>
      <c r="E16" s="92">
        <f>IF(B16="","",VLOOKUP(B16,'SAP Values'!A$3:H$211,8,FALSE))</f>
      </c>
      <c r="F16" s="45">
        <f>IF(B16="","",IF(C$4="NaOH",VLOOKUP(B16,'SAP Values'!A$3:B$211,2,FALSE),VLOOKUP(B16,'SAP Values'!A$3:C$211,3,FALSE)))</f>
      </c>
      <c r="G16" s="46">
        <f t="shared" si="0"/>
      </c>
      <c r="I16" s="38"/>
      <c r="J16" s="35"/>
      <c r="K16" s="81">
        <f>IF(I16="","",VLOOKUP(I16,'SAP Values'!A$3:B$211,2,FALSE))</f>
      </c>
      <c r="L16" s="82">
        <f t="shared" si="2"/>
      </c>
      <c r="M16" s="82">
        <f>IF(B16="","",IF(VLOOKUP(B16,'SAP Values'!A$3:H$211,8,FALSE)="",0,VLOOKUP(B16,'SAP Values'!A$3:H$211,8,FALSE))*C16)</f>
      </c>
      <c r="N16" s="95">
        <f t="shared" si="3"/>
        <v>0</v>
      </c>
    </row>
    <row r="17" spans="2:14" ht="12.75">
      <c r="B17" s="38"/>
      <c r="C17" s="35"/>
      <c r="D17" s="44">
        <f t="shared" si="1"/>
      </c>
      <c r="E17" s="92">
        <f>IF(B17="","",VLOOKUP(B17,'SAP Values'!A$3:H$211,8,FALSE))</f>
      </c>
      <c r="F17" s="45">
        <f>IF(B17="","",IF(C$4="NaOH",VLOOKUP(B17,'SAP Values'!A$3:B$211,2,FALSE),VLOOKUP(B17,'SAP Values'!A$3:C$211,3,FALSE)))</f>
      </c>
      <c r="G17" s="46">
        <f t="shared" si="0"/>
      </c>
      <c r="I17" s="38"/>
      <c r="J17" s="35"/>
      <c r="K17" s="81">
        <f>IF(I17="","",VLOOKUP(I17,'SAP Values'!A$3:B$211,2,FALSE))</f>
      </c>
      <c r="L17" s="82">
        <f>IF(AND(NOT(J17=""),NOT(K17="")),J17*K17,"")</f>
      </c>
      <c r="M17" s="82">
        <f>IF(B17="","",IF(VLOOKUP(B17,'SAP Values'!A$3:H$211,8,FALSE)="",0,VLOOKUP(B17,'SAP Values'!A$3:H$211,8,FALSE))*C17)</f>
      </c>
      <c r="N17" s="95">
        <f t="shared" si="3"/>
        <v>0</v>
      </c>
    </row>
    <row r="18" spans="2:14" ht="12.75">
      <c r="B18" s="38"/>
      <c r="C18" s="35"/>
      <c r="D18" s="44">
        <f t="shared" si="1"/>
      </c>
      <c r="E18" s="92">
        <f>IF(B18="","",VLOOKUP(B18,'SAP Values'!A$3:H$211,8,FALSE))</f>
      </c>
      <c r="F18" s="45">
        <f>IF(B18="","",IF(C$4="NaOH",VLOOKUP(B18,'SAP Values'!A$3:B$211,2,FALSE),VLOOKUP(B18,'SAP Values'!A$3:C$211,3,FALSE)))</f>
      </c>
      <c r="G18" s="46">
        <f t="shared" si="0"/>
      </c>
      <c r="I18" s="38"/>
      <c r="J18" s="35"/>
      <c r="K18" s="81">
        <f>IF(I18="","",VLOOKUP(I18,'SAP Values'!A$3:B$211,2,FALSE))</f>
      </c>
      <c r="L18" s="82">
        <f>IF(AND(NOT(J18=""),NOT(K18="")),J18*K18,"")</f>
      </c>
      <c r="M18" s="82">
        <f>IF(B18="","",IF(VLOOKUP(B18,'SAP Values'!A$3:H$211,8,FALSE)="",0,VLOOKUP(B18,'SAP Values'!A$3:H$211,8,FALSE))*C18)</f>
      </c>
      <c r="N18" s="95">
        <f t="shared" si="3"/>
        <v>0</v>
      </c>
    </row>
    <row r="19" spans="2:14" ht="12.75">
      <c r="B19" s="38"/>
      <c r="C19" s="35"/>
      <c r="D19" s="44">
        <f t="shared" si="1"/>
      </c>
      <c r="E19" s="92">
        <f>IF(B19="","",VLOOKUP(B19,'SAP Values'!A$3:H$211,8,FALSE))</f>
      </c>
      <c r="F19" s="45">
        <f>IF(B19="","",IF(C$4="NaOH",VLOOKUP(B19,'SAP Values'!A$3:B$211,2,FALSE),VLOOKUP(B19,'SAP Values'!A$3:C$211,3,FALSE)))</f>
      </c>
      <c r="G19" s="46">
        <f t="shared" si="0"/>
      </c>
      <c r="I19" s="38"/>
      <c r="J19" s="35"/>
      <c r="K19" s="81">
        <f>IF(I19="","",VLOOKUP(I19,'SAP Values'!A$3:B$211,2,FALSE))</f>
      </c>
      <c r="L19" s="82">
        <f>IF(AND(NOT(J19=""),NOT(K19="")),J19*K19,"")</f>
      </c>
      <c r="M19" s="82">
        <f>IF(B19="","",IF(VLOOKUP(B19,'SAP Values'!A$3:H$211,8,FALSE)="",0,VLOOKUP(B19,'SAP Values'!A$3:H$211,8,FALSE))*C19)</f>
      </c>
      <c r="N19" s="95">
        <f t="shared" si="3"/>
        <v>0</v>
      </c>
    </row>
    <row r="20" spans="2:14" ht="12.75">
      <c r="B20" s="38"/>
      <c r="C20" s="35"/>
      <c r="D20" s="44">
        <f t="shared" si="1"/>
      </c>
      <c r="E20" s="92">
        <f>IF(B20="","",VLOOKUP(B20,'SAP Values'!A$3:H$211,8,FALSE))</f>
      </c>
      <c r="F20" s="45">
        <f>IF(B20="","",IF(C$4="NaOH",VLOOKUP(B20,'SAP Values'!A$3:B$211,2,FALSE),VLOOKUP(B20,'SAP Values'!A$3:C$211,3,FALSE)))</f>
      </c>
      <c r="G20" s="46">
        <f t="shared" si="0"/>
      </c>
      <c r="I20" s="38"/>
      <c r="J20" s="35"/>
      <c r="K20" s="81">
        <f>IF(I20="","",VLOOKUP(I20,'SAP Values'!A$3:B$211,2,FALSE))</f>
      </c>
      <c r="L20" s="82">
        <f t="shared" si="2"/>
      </c>
      <c r="M20" s="82">
        <f>IF(B20="","",IF(VLOOKUP(B20,'SAP Values'!A$3:H$211,8,FALSE)="",0,VLOOKUP(B20,'SAP Values'!A$3:H$211,8,FALSE))*C20)</f>
      </c>
      <c r="N20" s="95">
        <f t="shared" si="3"/>
        <v>0</v>
      </c>
    </row>
    <row r="21" spans="2:14" ht="12.75">
      <c r="B21" s="39"/>
      <c r="C21" s="36"/>
      <c r="D21" s="47">
        <f t="shared" si="1"/>
      </c>
      <c r="E21" s="93">
        <f>IF(B21="","",VLOOKUP(B21,'SAP Values'!A$3:H$211,8,FALSE))</f>
      </c>
      <c r="F21" s="48">
        <f>IF(B21="","",IF(C$4="NaOH",VLOOKUP(B21,'SAP Values'!A$3:B$211,2,FALSE),VLOOKUP(B21,'SAP Values'!A$3:C$211,3,FALSE)))</f>
      </c>
      <c r="G21" s="49">
        <f t="shared" si="0"/>
      </c>
      <c r="I21" s="39"/>
      <c r="J21" s="36"/>
      <c r="K21" s="81">
        <f>IF(I21="","",VLOOKUP(I21,'SAP Values'!A$3:B$211,2,FALSE))</f>
      </c>
      <c r="L21" s="82">
        <f t="shared" si="2"/>
      </c>
      <c r="M21" s="82">
        <f>IF(B21="","",IF(VLOOKUP(B21,'SAP Values'!A$3:H$211,8,FALSE)="",0,VLOOKUP(B21,'SAP Values'!A$3:H$211,8,FALSE))*C21)</f>
      </c>
      <c r="N21" s="95">
        <f t="shared" si="3"/>
        <v>0</v>
      </c>
    </row>
    <row r="22" spans="2:13" ht="12.75">
      <c r="B22" s="19" t="s">
        <v>77</v>
      </c>
      <c r="C22" s="52">
        <f>SUM(C9:C21)</f>
        <v>543</v>
      </c>
      <c r="D22" s="50">
        <f>SUM(D9:D21)</f>
        <v>1</v>
      </c>
      <c r="E22" s="51"/>
      <c r="F22" s="51"/>
      <c r="G22" s="52">
        <f>SUM(G9:G21)</f>
        <v>114.5676</v>
      </c>
      <c r="I22" s="19" t="s">
        <v>77</v>
      </c>
      <c r="J22" s="52">
        <f>SUM(J9:J21)</f>
        <v>0</v>
      </c>
      <c r="K22" s="83"/>
      <c r="L22" s="82">
        <f>SUM(L9:L21)</f>
        <v>0</v>
      </c>
      <c r="M22" s="24"/>
    </row>
    <row r="23" spans="2:6" ht="12.75">
      <c r="B23" s="20"/>
      <c r="C23" s="21"/>
      <c r="D23" s="22"/>
      <c r="E23" s="23"/>
      <c r="F23" s="24"/>
    </row>
    <row r="24" spans="2:10" ht="12.75">
      <c r="B24" s="25" t="s">
        <v>87</v>
      </c>
      <c r="C24" s="26">
        <v>0</v>
      </c>
      <c r="D24" s="22"/>
      <c r="E24" s="23"/>
      <c r="F24" s="23"/>
      <c r="G24" s="24"/>
      <c r="H24" s="112" t="s">
        <v>95</v>
      </c>
      <c r="I24" s="112"/>
      <c r="J24" s="73">
        <f>IF(C28="",C24,1-(ROUNDDOWN(G22-(G22*C24),1)/(G22+L22)))</f>
        <v>0.0005900446548587901</v>
      </c>
    </row>
    <row r="26" spans="3:8" ht="12.75">
      <c r="C26" s="14" t="s">
        <v>142</v>
      </c>
      <c r="E26" s="16"/>
      <c r="F26" s="17"/>
      <c r="H26" s="14" t="s">
        <v>88</v>
      </c>
    </row>
    <row r="27" spans="2:13" ht="12.75">
      <c r="B27" s="14" t="s">
        <v>78</v>
      </c>
      <c r="C27" s="53">
        <f>IF(AND(C22=0,J22=0),"",C22+J22)</f>
        <v>543</v>
      </c>
      <c r="E27" s="107"/>
      <c r="F27" s="59"/>
      <c r="H27" s="113"/>
      <c r="I27" s="114"/>
      <c r="J27" s="114"/>
      <c r="K27" s="115"/>
      <c r="L27" s="80"/>
      <c r="M27" s="80"/>
    </row>
    <row r="28" spans="2:13" ht="12.75">
      <c r="B28" s="14" t="s">
        <v>79</v>
      </c>
      <c r="C28" s="54">
        <f>IF(G22=0,"",ROUNDDOWN(G22-(G22*C24),1))</f>
        <v>114.5</v>
      </c>
      <c r="E28" s="108"/>
      <c r="F28" s="61"/>
      <c r="H28" s="116"/>
      <c r="I28" s="117"/>
      <c r="J28" s="117"/>
      <c r="K28" s="118"/>
      <c r="L28" s="80"/>
      <c r="M28" s="80"/>
    </row>
    <row r="29" spans="2:13" ht="12.75">
      <c r="B29" s="14" t="s">
        <v>80</v>
      </c>
      <c r="C29" s="54">
        <f>IF(C4="NaOH",IF(C22=0,"",ROUNDDOWN(C$22*(1/3),1)),IF(C22=0,"",ROUNDDOWN(C$28*3,1)))</f>
        <v>343.5</v>
      </c>
      <c r="E29" s="108"/>
      <c r="F29" s="61"/>
      <c r="H29" s="116"/>
      <c r="I29" s="117"/>
      <c r="J29" s="117"/>
      <c r="K29" s="118"/>
      <c r="L29" s="80"/>
      <c r="M29" s="80"/>
    </row>
    <row r="30" spans="2:13" ht="12.75">
      <c r="B30" s="14" t="s">
        <v>81</v>
      </c>
      <c r="C30" s="55">
        <f>IF(C27="","",SUM(C27:C29))</f>
        <v>1001</v>
      </c>
      <c r="D30" s="18"/>
      <c r="E30" s="109"/>
      <c r="F30" s="63"/>
      <c r="H30" s="116"/>
      <c r="I30" s="117"/>
      <c r="J30" s="117"/>
      <c r="K30" s="118"/>
      <c r="L30" s="80"/>
      <c r="M30" s="80"/>
    </row>
    <row r="31" spans="2:13" ht="12.75">
      <c r="B31" s="14" t="s">
        <v>82</v>
      </c>
      <c r="C31" s="56">
        <f>IF(C27="","",ROUNDDOWN(C27+C28+(C29*0.15),1))</f>
        <v>709</v>
      </c>
      <c r="D31" s="22"/>
      <c r="E31" s="110"/>
      <c r="F31" s="56"/>
      <c r="H31" s="116"/>
      <c r="I31" s="117"/>
      <c r="J31" s="117"/>
      <c r="K31" s="118"/>
      <c r="L31" s="80"/>
      <c r="M31" s="80"/>
    </row>
    <row r="32" spans="3:13" ht="12.75">
      <c r="C32" s="27"/>
      <c r="E32" s="28"/>
      <c r="F32" s="27"/>
      <c r="H32" s="116"/>
      <c r="I32" s="117"/>
      <c r="J32" s="117"/>
      <c r="K32" s="118"/>
      <c r="L32" s="80"/>
      <c r="M32" s="80"/>
    </row>
    <row r="33" spans="2:13" ht="12.75">
      <c r="B33" s="14" t="s">
        <v>143</v>
      </c>
      <c r="C33" s="29">
        <v>120</v>
      </c>
      <c r="E33" s="28"/>
      <c r="F33" s="27"/>
      <c r="H33" s="116"/>
      <c r="I33" s="117"/>
      <c r="J33" s="117"/>
      <c r="K33" s="118"/>
      <c r="L33" s="80"/>
      <c r="M33" s="80"/>
    </row>
    <row r="34" spans="2:13" ht="12.75">
      <c r="B34" s="14" t="s">
        <v>90</v>
      </c>
      <c r="C34" s="57">
        <f>IF(NOT(C31=""),TRUNC(C31/C33),"")</f>
        <v>5</v>
      </c>
      <c r="H34" s="116"/>
      <c r="I34" s="117"/>
      <c r="J34" s="117"/>
      <c r="K34" s="118"/>
      <c r="L34" s="80"/>
      <c r="M34" s="80"/>
    </row>
    <row r="35" spans="8:13" ht="12.75">
      <c r="H35" s="119"/>
      <c r="I35" s="120"/>
      <c r="J35" s="120"/>
      <c r="K35" s="121"/>
      <c r="L35" s="80"/>
      <c r="M35" s="80"/>
    </row>
    <row r="36" spans="8:13" ht="12.75">
      <c r="H36" s="80"/>
      <c r="I36" s="80"/>
      <c r="J36" s="80"/>
      <c r="K36" s="80"/>
      <c r="L36" s="80"/>
      <c r="M36" s="80"/>
    </row>
  </sheetData>
  <mergeCells count="4">
    <mergeCell ref="H24:I24"/>
    <mergeCell ref="H27:K35"/>
    <mergeCell ref="C2:H2"/>
    <mergeCell ref="D4:E4"/>
  </mergeCells>
  <conditionalFormatting sqref="E31:F31 B33:C34 B31:C31 B6:C6 E8:E22">
    <cfRule type="expression" priority="1" dxfId="0" stopIfTrue="1">
      <formula>$C$4="KOH"</formula>
    </cfRule>
  </conditionalFormatting>
  <conditionalFormatting sqref="C30 E30:F30">
    <cfRule type="expression" priority="2" dxfId="1" stopIfTrue="1">
      <formula>$C$4="KOH"</formula>
    </cfRule>
  </conditionalFormatting>
  <dataValidations count="2">
    <dataValidation type="list" allowBlank="1" showInputMessage="1" showErrorMessage="1" sqref="B9:B21 I9:I21">
      <formula1>OilList</formula1>
    </dataValidation>
    <dataValidation type="list" showInputMessage="1" showErrorMessage="1" sqref="C4">
      <formula1>Alkali</formula1>
    </dataValidation>
  </dataValidations>
  <printOptions/>
  <pageMargins left="0.75" right="0.75" top="1" bottom="1" header="0.5" footer="0.5"/>
  <pageSetup fitToHeight="1" fitToWidth="1" horizontalDpi="600" verticalDpi="600" orientation="landscape" scale="94" r:id="rId1"/>
</worksheet>
</file>

<file path=xl/worksheets/sheet3.xml><?xml version="1.0" encoding="utf-8"?>
<worksheet xmlns="http://schemas.openxmlformats.org/spreadsheetml/2006/main" xmlns:r="http://schemas.openxmlformats.org/officeDocument/2006/relationships">
  <sheetPr codeName="Sheet3"/>
  <dimension ref="B2:M35"/>
  <sheetViews>
    <sheetView workbookViewId="0" topLeftCell="A4">
      <selection activeCell="C10" sqref="C10"/>
    </sheetView>
  </sheetViews>
  <sheetFormatPr defaultColWidth="9.140625" defaultRowHeight="12.75"/>
  <cols>
    <col min="1" max="1" width="9.140625" style="7" customWidth="1"/>
    <col min="2" max="2" width="20.00390625" style="7" bestFit="1" customWidth="1"/>
    <col min="3" max="3" width="11.57421875" style="7" bestFit="1" customWidth="1"/>
    <col min="4" max="4" width="8.8515625" style="8" bestFit="1" customWidth="1"/>
    <col min="5" max="5" width="6.7109375" style="9" bestFit="1" customWidth="1"/>
    <col min="6" max="6" width="8.57421875" style="10" bestFit="1" customWidth="1"/>
    <col min="7" max="7" width="9.140625" style="7" customWidth="1"/>
    <col min="8" max="8" width="20.00390625" style="7" customWidth="1"/>
    <col min="9" max="9" width="11.57421875" style="7" customWidth="1"/>
    <col min="10" max="16384" width="9.140625" style="7" customWidth="1"/>
  </cols>
  <sheetData>
    <row r="2" spans="2:8" ht="12.75">
      <c r="B2" s="11" t="s">
        <v>91</v>
      </c>
      <c r="C2" s="124">
        <f>IF('Recipe Worksheet'!C2="","",'Recipe Worksheet'!C2)</f>
      </c>
      <c r="D2" s="124"/>
      <c r="E2" s="124"/>
      <c r="F2" s="124"/>
      <c r="G2" s="124"/>
      <c r="H2" s="125"/>
    </row>
    <row r="3" spans="2:7" ht="12.75">
      <c r="B3" s="30"/>
      <c r="C3" s="31"/>
      <c r="D3" s="31"/>
      <c r="E3" s="31"/>
      <c r="F3" s="31"/>
      <c r="G3" s="31"/>
    </row>
    <row r="4" spans="2:10" ht="12.75">
      <c r="B4" s="11" t="s">
        <v>134</v>
      </c>
      <c r="C4" s="31" t="str">
        <f>'Recipe Worksheet'!C4</f>
        <v>KOH</v>
      </c>
      <c r="D4" s="126" t="str">
        <f>'Recipe Worksheet'!D4</f>
        <v>(Liquid Soap)</v>
      </c>
      <c r="E4" s="126"/>
      <c r="F4" s="31"/>
      <c r="G4" s="96" t="s">
        <v>137</v>
      </c>
      <c r="H4" s="97" t="s">
        <v>138</v>
      </c>
      <c r="I4" s="98"/>
      <c r="J4" s="99"/>
    </row>
    <row r="5" spans="2:10" ht="12.75">
      <c r="B5" s="30"/>
      <c r="C5" s="31"/>
      <c r="D5" s="31"/>
      <c r="E5" s="31"/>
      <c r="F5" s="31"/>
      <c r="G5" s="105" t="s">
        <v>140</v>
      </c>
      <c r="H5" s="100" t="s">
        <v>139</v>
      </c>
      <c r="I5" s="101"/>
      <c r="J5" s="102"/>
    </row>
    <row r="6" spans="2:10" ht="12.75">
      <c r="B6" s="11" t="s">
        <v>92</v>
      </c>
      <c r="C6" s="32">
        <v>1</v>
      </c>
      <c r="D6" s="31"/>
      <c r="E6" s="31"/>
      <c r="F6" s="31"/>
      <c r="G6" s="106" t="s">
        <v>140</v>
      </c>
      <c r="H6" s="13" t="s">
        <v>90</v>
      </c>
      <c r="I6" s="103"/>
      <c r="J6" s="104"/>
    </row>
    <row r="7" spans="2:7" ht="12.75">
      <c r="B7" s="30"/>
      <c r="C7" s="31"/>
      <c r="D7" s="31"/>
      <c r="E7" s="31"/>
      <c r="F7" s="31"/>
      <c r="G7" s="31"/>
    </row>
    <row r="8" spans="2:13" ht="12.75">
      <c r="B8" s="14" t="s">
        <v>0</v>
      </c>
      <c r="C8" s="14" t="s">
        <v>86</v>
      </c>
      <c r="D8" s="15" t="s">
        <v>75</v>
      </c>
      <c r="E8" s="16" t="s">
        <v>76</v>
      </c>
      <c r="F8" s="17" t="str">
        <f>IF(C4="NaOH","Oz NaOH","Oz KOH")</f>
        <v>Oz KOH</v>
      </c>
      <c r="H8" s="13" t="s">
        <v>94</v>
      </c>
      <c r="I8" s="14" t="s">
        <v>86</v>
      </c>
      <c r="J8" s="15"/>
      <c r="K8" s="16"/>
      <c r="L8" s="31"/>
      <c r="M8" s="31"/>
    </row>
    <row r="9" spans="2:13" ht="12.75">
      <c r="B9" s="84" t="str">
        <f>IF('Recipe Worksheet'!B9="","",'Recipe Worksheet'!B9)</f>
        <v>Olive </v>
      </c>
      <c r="C9" s="43">
        <f>IF('Recipe Worksheet'!C9="","",ROUND('Recipe Worksheet'!C9*$C$6,2))</f>
        <v>381</v>
      </c>
      <c r="D9" s="41">
        <f>IF(C9="","",C9/C$22)</f>
        <v>0.7016574585635359</v>
      </c>
      <c r="E9" s="42">
        <f>IF(B9="","",IF(C$4="NaOH",VLOOKUP(B9,'SAP Values'!A$3:B$211,2,FALSE),VLOOKUP(B9,'SAP Values'!A$3:C$211,3,FALSE)))</f>
        <v>0.1876</v>
      </c>
      <c r="F9" s="43">
        <f>IF(AND(NOT(C9=""),NOT(E9="")),C9*E9,"")</f>
        <v>71.4756</v>
      </c>
      <c r="H9" s="84">
        <f>IF('Recipe Worksheet'!I9="","",'Recipe Worksheet'!I9)</f>
      </c>
      <c r="I9" s="43">
        <f>IF('Recipe Worksheet'!J9="","",ROUND('Recipe Worksheet'!J9*$C$6,2))</f>
      </c>
      <c r="J9" s="81">
        <f>IF(H9="","",VLOOKUP(H9,'SAP Values'!A$3:B$211,2,FALSE))</f>
      </c>
      <c r="K9" s="82">
        <f>IF(AND(NOT(I9=""),NOT(J9="")),I9*J9,"")</f>
      </c>
      <c r="L9" s="33"/>
      <c r="M9" s="33"/>
    </row>
    <row r="10" spans="2:13" ht="12.75">
      <c r="B10" s="85" t="str">
        <f>IF('Recipe Worksheet'!B10="","",'Recipe Worksheet'!B10)</f>
        <v>Coconut </v>
      </c>
      <c r="C10" s="46">
        <f>IF('Recipe Worksheet'!C10="","",ROUND('Recipe Worksheet'!C10*$C$6,2))</f>
        <v>162</v>
      </c>
      <c r="D10" s="44">
        <f aca="true" t="shared" si="0" ref="D10:D21">IF(C10="","",C10/C$22)</f>
        <v>0.2983425414364641</v>
      </c>
      <c r="E10" s="45">
        <f>IF(B10="","",IF(C$4="NaOH",VLOOKUP(B10,'SAP Values'!A$3:B$211,2,FALSE),VLOOKUP(B10,'SAP Values'!A$3:C$211,3,FALSE)))</f>
        <v>0.266</v>
      </c>
      <c r="F10" s="46">
        <f aca="true" t="shared" si="1" ref="F10:F21">IF(AND(NOT(C10=""),NOT(E10="")),C10*E10,"")</f>
        <v>43.092</v>
      </c>
      <c r="H10" s="85">
        <f>IF('Recipe Worksheet'!I10="","",'Recipe Worksheet'!I10)</f>
      </c>
      <c r="I10" s="46">
        <f>IF('Recipe Worksheet'!J10="","",ROUND('Recipe Worksheet'!J10*$C$6,2))</f>
      </c>
      <c r="J10" s="81">
        <f>IF(H10="","",VLOOKUP(H10,'SAP Values'!A$3:B$211,2,FALSE))</f>
      </c>
      <c r="K10" s="82">
        <f aca="true" t="shared" si="2" ref="K10:K21">IF(AND(NOT(I10=""),NOT(J10="")),I10*J10,"")</f>
      </c>
      <c r="L10" s="33"/>
      <c r="M10" s="33"/>
    </row>
    <row r="11" spans="2:13" ht="12.75">
      <c r="B11" s="85">
        <f>IF('Recipe Worksheet'!B11="","",'Recipe Worksheet'!B11)</f>
      </c>
      <c r="C11" s="46">
        <f>IF('Recipe Worksheet'!C11="","",ROUND('Recipe Worksheet'!C11*$C$6,2))</f>
      </c>
      <c r="D11" s="44">
        <f t="shared" si="0"/>
      </c>
      <c r="E11" s="45">
        <f>IF(B11="","",IF(C$4="NaOH",VLOOKUP(B11,'SAP Values'!A$3:B$211,2,FALSE),VLOOKUP(B11,'SAP Values'!A$3:C$211,3,FALSE)))</f>
      </c>
      <c r="F11" s="46">
        <f t="shared" si="1"/>
      </c>
      <c r="H11" s="85">
        <f>IF('Recipe Worksheet'!I11="","",'Recipe Worksheet'!I11)</f>
      </c>
      <c r="I11" s="46">
        <f>IF('Recipe Worksheet'!J11="","",ROUND('Recipe Worksheet'!J11*$C$6,2))</f>
      </c>
      <c r="J11" s="81">
        <f>IF(H11="","",VLOOKUP(H11,'SAP Values'!A$3:B$211,2,FALSE))</f>
      </c>
      <c r="K11" s="82">
        <f t="shared" si="2"/>
      </c>
      <c r="L11" s="33"/>
      <c r="M11" s="33"/>
    </row>
    <row r="12" spans="2:13" ht="12.75">
      <c r="B12" s="85">
        <f>IF('Recipe Worksheet'!B12="","",'Recipe Worksheet'!B12)</f>
      </c>
      <c r="C12" s="46">
        <f>IF('Recipe Worksheet'!C12="","",ROUND('Recipe Worksheet'!C12*$C$6,2))</f>
      </c>
      <c r="D12" s="44">
        <f t="shared" si="0"/>
      </c>
      <c r="E12" s="45">
        <f>IF(B12="","",IF(C$4="NaOH",VLOOKUP(B12,'SAP Values'!A$3:B$211,2,FALSE),VLOOKUP(B12,'SAP Values'!A$3:C$211,3,FALSE)))</f>
      </c>
      <c r="F12" s="46">
        <f t="shared" si="1"/>
      </c>
      <c r="H12" s="85">
        <f>IF('Recipe Worksheet'!I12="","",'Recipe Worksheet'!I12)</f>
      </c>
      <c r="I12" s="46">
        <f>IF('Recipe Worksheet'!J12="","",ROUND('Recipe Worksheet'!J12*$C$6,2))</f>
      </c>
      <c r="J12" s="81">
        <f>IF(H12="","",VLOOKUP(H12,'SAP Values'!A$3:B$211,2,FALSE))</f>
      </c>
      <c r="K12" s="82">
        <f t="shared" si="2"/>
      </c>
      <c r="L12" s="33"/>
      <c r="M12" s="33"/>
    </row>
    <row r="13" spans="2:13" ht="12.75">
      <c r="B13" s="85">
        <f>IF('Recipe Worksheet'!B13="","",'Recipe Worksheet'!B13)</f>
      </c>
      <c r="C13" s="46">
        <f>IF('Recipe Worksheet'!C13="","",ROUND('Recipe Worksheet'!C13*$C$6,2))</f>
      </c>
      <c r="D13" s="44">
        <f t="shared" si="0"/>
      </c>
      <c r="E13" s="45">
        <f>IF(B13="","",IF(C$4="NaOH",VLOOKUP(B13,'SAP Values'!A$3:B$211,2,FALSE),VLOOKUP(B13,'SAP Values'!A$3:C$211,3,FALSE)))</f>
      </c>
      <c r="F13" s="46">
        <f t="shared" si="1"/>
      </c>
      <c r="H13" s="85">
        <f>IF('Recipe Worksheet'!I13="","",'Recipe Worksheet'!I13)</f>
      </c>
      <c r="I13" s="46">
        <f>IF('Recipe Worksheet'!J13="","",ROUND('Recipe Worksheet'!J13*$C$6,2))</f>
      </c>
      <c r="J13" s="81">
        <f>IF(H13="","",VLOOKUP(H13,'SAP Values'!A$3:B$211,2,FALSE))</f>
      </c>
      <c r="K13" s="82">
        <f t="shared" si="2"/>
      </c>
      <c r="L13" s="33"/>
      <c r="M13" s="33"/>
    </row>
    <row r="14" spans="2:13" ht="12.75">
      <c r="B14" s="85">
        <f>IF('Recipe Worksheet'!B14="","",'Recipe Worksheet'!B14)</f>
      </c>
      <c r="C14" s="46">
        <f>IF('Recipe Worksheet'!C14="","",ROUND('Recipe Worksheet'!C14*$C$6,2))</f>
      </c>
      <c r="D14" s="44">
        <f t="shared" si="0"/>
      </c>
      <c r="E14" s="45">
        <f>IF(B14="","",IF(C$4="NaOH",VLOOKUP(B14,'SAP Values'!A$3:B$211,2,FALSE),VLOOKUP(B14,'SAP Values'!A$3:C$211,3,FALSE)))</f>
      </c>
      <c r="F14" s="46">
        <f t="shared" si="1"/>
      </c>
      <c r="H14" s="85">
        <f>IF('Recipe Worksheet'!I14="","",'Recipe Worksheet'!I14)</f>
      </c>
      <c r="I14" s="46">
        <f>IF('Recipe Worksheet'!J14="","",ROUND('Recipe Worksheet'!J14*$C$6,2))</f>
      </c>
      <c r="J14" s="81">
        <f>IF(H14="","",VLOOKUP(H14,'SAP Values'!A$3:B$211,2,FALSE))</f>
      </c>
      <c r="K14" s="82">
        <f t="shared" si="2"/>
      </c>
      <c r="L14" s="33"/>
      <c r="M14" s="33"/>
    </row>
    <row r="15" spans="2:13" ht="12.75">
      <c r="B15" s="85">
        <f>IF('Recipe Worksheet'!B15="","",'Recipe Worksheet'!B15)</f>
      </c>
      <c r="C15" s="46">
        <f>IF('Recipe Worksheet'!C15="","",ROUND('Recipe Worksheet'!C15*$C$6,2))</f>
      </c>
      <c r="D15" s="44">
        <f t="shared" si="0"/>
      </c>
      <c r="E15" s="45">
        <f>IF(B15="","",IF(C$4="NaOH",VLOOKUP(B15,'SAP Values'!A$3:B$211,2,FALSE),VLOOKUP(B15,'SAP Values'!A$3:C$211,3,FALSE)))</f>
      </c>
      <c r="F15" s="46">
        <f t="shared" si="1"/>
      </c>
      <c r="H15" s="85">
        <f>IF('Recipe Worksheet'!I15="","",'Recipe Worksheet'!I15)</f>
      </c>
      <c r="I15" s="46">
        <f>IF('Recipe Worksheet'!J15="","",ROUND('Recipe Worksheet'!J15*$C$6,2))</f>
      </c>
      <c r="J15" s="81">
        <f>IF(H15="","",VLOOKUP(H15,'SAP Values'!A$3:B$211,2,FALSE))</f>
      </c>
      <c r="K15" s="82">
        <f t="shared" si="2"/>
      </c>
      <c r="L15" s="33"/>
      <c r="M15" s="33"/>
    </row>
    <row r="16" spans="2:13" ht="12.75">
      <c r="B16" s="85">
        <f>IF('Recipe Worksheet'!B16="","",'Recipe Worksheet'!B16)</f>
      </c>
      <c r="C16" s="46">
        <f>IF('Recipe Worksheet'!C16="","",ROUND('Recipe Worksheet'!C16*$C$6,2))</f>
      </c>
      <c r="D16" s="44">
        <f t="shared" si="0"/>
      </c>
      <c r="E16" s="45">
        <f>IF(B16="","",IF(C$4="NaOH",VLOOKUP(B16,'SAP Values'!A$3:B$211,2,FALSE),VLOOKUP(B16,'SAP Values'!A$3:C$211,3,FALSE)))</f>
      </c>
      <c r="F16" s="46">
        <f t="shared" si="1"/>
      </c>
      <c r="H16" s="85">
        <f>IF('Recipe Worksheet'!I16="","",'Recipe Worksheet'!I16)</f>
      </c>
      <c r="I16" s="46">
        <f>IF('Recipe Worksheet'!J16="","",ROUND('Recipe Worksheet'!J16*$C$6,2))</f>
      </c>
      <c r="J16" s="81">
        <f>IF(H16="","",VLOOKUP(H16,'SAP Values'!A$3:B$211,2,FALSE))</f>
      </c>
      <c r="K16" s="82">
        <f t="shared" si="2"/>
      </c>
      <c r="L16" s="33"/>
      <c r="M16" s="33"/>
    </row>
    <row r="17" spans="2:13" ht="12.75">
      <c r="B17" s="85">
        <f>IF('Recipe Worksheet'!B17="","",'Recipe Worksheet'!B17)</f>
      </c>
      <c r="C17" s="46">
        <f>IF('Recipe Worksheet'!C17="","",ROUND('Recipe Worksheet'!C17*$C$6,2))</f>
      </c>
      <c r="D17" s="44">
        <f t="shared" si="0"/>
      </c>
      <c r="E17" s="45">
        <f>IF(B17="","",IF(C$4="NaOH",VLOOKUP(B17,'SAP Values'!A$3:B$211,2,FALSE),VLOOKUP(B17,'SAP Values'!A$3:C$211,3,FALSE)))</f>
      </c>
      <c r="F17" s="46">
        <f>IF(AND(NOT(C17=""),NOT(E17="")),C17*E17,"")</f>
      </c>
      <c r="H17" s="85">
        <f>IF('Recipe Worksheet'!I18="","",'Recipe Worksheet'!I18)</f>
      </c>
      <c r="I17" s="46">
        <f>IF('Recipe Worksheet'!J18="","",ROUND('Recipe Worksheet'!J18*$C$6,2))</f>
      </c>
      <c r="J17" s="81">
        <f>IF(H17="","",VLOOKUP(H17,'SAP Values'!A$3:B$211,2,FALSE))</f>
      </c>
      <c r="K17" s="82">
        <f>IF(AND(NOT(I17=""),NOT(J17="")),I17*J17,"")</f>
      </c>
      <c r="L17" s="33"/>
      <c r="M17" s="33"/>
    </row>
    <row r="18" spans="2:13" ht="12.75">
      <c r="B18" s="85">
        <f>IF('Recipe Worksheet'!B18="","",'Recipe Worksheet'!B18)</f>
      </c>
      <c r="C18" s="46">
        <f>IF('Recipe Worksheet'!C18="","",ROUND('Recipe Worksheet'!C18*$C$6,2))</f>
      </c>
      <c r="D18" s="44">
        <f t="shared" si="0"/>
      </c>
      <c r="E18" s="45">
        <f>IF(B18="","",IF(C$4="NaOH",VLOOKUP(B18,'SAP Values'!A$3:B$211,2,FALSE),VLOOKUP(B18,'SAP Values'!A$3:C$211,3,FALSE)))</f>
      </c>
      <c r="F18" s="46">
        <f>IF(AND(NOT(C18=""),NOT(E18="")),C18*E18,"")</f>
      </c>
      <c r="H18" s="85">
        <f>IF('Recipe Worksheet'!I18="","",'Recipe Worksheet'!I18)</f>
      </c>
      <c r="I18" s="46">
        <f>IF('Recipe Worksheet'!J18="","",ROUND('Recipe Worksheet'!J18*$C$6,2))</f>
      </c>
      <c r="J18" s="81">
        <f>IF(H18="","",VLOOKUP(H18,'SAP Values'!A$3:B$211,2,FALSE))</f>
      </c>
      <c r="K18" s="82">
        <f>IF(AND(NOT(I18=""),NOT(J18="")),I18*J18,"")</f>
      </c>
      <c r="L18" s="33"/>
      <c r="M18" s="33"/>
    </row>
    <row r="19" spans="2:13" ht="12.75">
      <c r="B19" s="85">
        <f>IF('Recipe Worksheet'!B19="","",'Recipe Worksheet'!B19)</f>
      </c>
      <c r="C19" s="46">
        <f>IF('Recipe Worksheet'!C19="","",ROUND('Recipe Worksheet'!C19*$C$6,2))</f>
      </c>
      <c r="D19" s="44">
        <f t="shared" si="0"/>
      </c>
      <c r="E19" s="45">
        <f>IF(B19="","",IF(C$4="NaOH",VLOOKUP(B19,'SAP Values'!A$3:B$211,2,FALSE),VLOOKUP(B19,'SAP Values'!A$3:C$211,3,FALSE)))</f>
      </c>
      <c r="F19" s="46">
        <f>IF(AND(NOT(C19=""),NOT(E19="")),C19*E19,"")</f>
      </c>
      <c r="H19" s="85">
        <f>IF('Recipe Worksheet'!I19="","",'Recipe Worksheet'!I19)</f>
      </c>
      <c r="I19" s="46">
        <f>IF('Recipe Worksheet'!J19="","",ROUND('Recipe Worksheet'!J19*$C$6,2))</f>
      </c>
      <c r="J19" s="81">
        <f>IF(H19="","",VLOOKUP(H19,'SAP Values'!A$3:B$211,2,FALSE))</f>
      </c>
      <c r="K19" s="82">
        <f>IF(AND(NOT(I19=""),NOT(J19="")),I19*J19,"")</f>
      </c>
      <c r="L19" s="33"/>
      <c r="M19" s="33"/>
    </row>
    <row r="20" spans="2:13" ht="12.75">
      <c r="B20" s="85">
        <f>IF('Recipe Worksheet'!B20="","",'Recipe Worksheet'!B20)</f>
      </c>
      <c r="C20" s="46">
        <f>IF('Recipe Worksheet'!C20="","",ROUND('Recipe Worksheet'!C20*$C$6,2))</f>
      </c>
      <c r="D20" s="44">
        <f t="shared" si="0"/>
      </c>
      <c r="E20" s="45">
        <f>IF(B20="","",IF(C$4="NaOH",VLOOKUP(B20,'SAP Values'!A$3:B$211,2,FALSE),VLOOKUP(B20,'SAP Values'!A$3:C$211,3,FALSE)))</f>
      </c>
      <c r="F20" s="46">
        <f t="shared" si="1"/>
      </c>
      <c r="H20" s="85">
        <f>IF('Recipe Worksheet'!I20="","",'Recipe Worksheet'!I20)</f>
      </c>
      <c r="I20" s="46">
        <f>IF('Recipe Worksheet'!J20="","",ROUND('Recipe Worksheet'!J20*$C$6,2))</f>
      </c>
      <c r="J20" s="81">
        <f>IF(H20="","",VLOOKUP(H20,'SAP Values'!A$3:B$211,2,FALSE))</f>
      </c>
      <c r="K20" s="82">
        <f t="shared" si="2"/>
      </c>
      <c r="L20" s="33"/>
      <c r="M20" s="33"/>
    </row>
    <row r="21" spans="2:13" ht="12.75">
      <c r="B21" s="86">
        <f>IF('Recipe Worksheet'!B21="","",'Recipe Worksheet'!B21)</f>
      </c>
      <c r="C21" s="49">
        <f>IF('Recipe Worksheet'!C21="","",ROUND('Recipe Worksheet'!C21*$C$6,2))</f>
      </c>
      <c r="D21" s="47">
        <f t="shared" si="0"/>
      </c>
      <c r="E21" s="48">
        <f>IF(B21="","",IF(C$4="NaOH",VLOOKUP(B21,'SAP Values'!A$3:B$211,2,FALSE),VLOOKUP(B21,'SAP Values'!A$3:C$211,3,FALSE)))</f>
      </c>
      <c r="F21" s="49">
        <f t="shared" si="1"/>
      </c>
      <c r="H21" s="86">
        <f>IF('Recipe Worksheet'!I21="","",'Recipe Worksheet'!I21)</f>
      </c>
      <c r="I21" s="49">
        <f>IF('Recipe Worksheet'!J21="","",ROUND('Recipe Worksheet'!J21*$C$6,2))</f>
      </c>
      <c r="J21" s="81">
        <f>IF(H21="","",VLOOKUP(H21,'SAP Values'!A$3:B$211,2,FALSE))</f>
      </c>
      <c r="K21" s="82">
        <f t="shared" si="2"/>
      </c>
      <c r="L21" s="33"/>
      <c r="M21" s="33"/>
    </row>
    <row r="22" spans="2:11" ht="12.75">
      <c r="B22" s="67" t="s">
        <v>77</v>
      </c>
      <c r="C22" s="52">
        <f>SUM(C9:C21)</f>
        <v>543</v>
      </c>
      <c r="D22" s="50">
        <f>SUM(D9:D21)</f>
        <v>1</v>
      </c>
      <c r="E22" s="51"/>
      <c r="F22" s="52">
        <f>SUM(F9:F21)</f>
        <v>114.5676</v>
      </c>
      <c r="H22" s="67" t="s">
        <v>77</v>
      </c>
      <c r="I22" s="52">
        <f>SUM(I9:I21)</f>
        <v>0</v>
      </c>
      <c r="J22" s="83"/>
      <c r="K22" s="82">
        <f>SUM(K9:K21)</f>
        <v>0</v>
      </c>
    </row>
    <row r="23" spans="2:6" ht="12.75">
      <c r="B23" s="68"/>
      <c r="C23" s="69"/>
      <c r="D23" s="65"/>
      <c r="E23" s="70"/>
      <c r="F23" s="40"/>
    </row>
    <row r="24" spans="2:9" ht="12.75">
      <c r="B24" s="71" t="s">
        <v>87</v>
      </c>
      <c r="C24" s="72">
        <f>'Recipe Worksheet'!C24</f>
        <v>0</v>
      </c>
      <c r="D24" s="65"/>
      <c r="E24" s="70"/>
      <c r="F24" s="40"/>
      <c r="G24" s="112" t="s">
        <v>95</v>
      </c>
      <c r="H24" s="112"/>
      <c r="I24" s="73">
        <f>IF(C28="",C24,1-(ROUNDDOWN(F22-(F22*C24),1)/(F22+K22)))</f>
        <v>0.0005900446548587901</v>
      </c>
    </row>
    <row r="25" spans="2:6" ht="12.75">
      <c r="B25" s="66"/>
      <c r="C25" s="66"/>
      <c r="D25" s="73"/>
      <c r="E25" s="74"/>
      <c r="F25" s="75"/>
    </row>
    <row r="26" spans="2:8" ht="12.75">
      <c r="B26" s="66"/>
      <c r="C26" s="76" t="s">
        <v>83</v>
      </c>
      <c r="D26" s="73"/>
      <c r="E26" s="77" t="s">
        <v>84</v>
      </c>
      <c r="F26" s="78" t="s">
        <v>85</v>
      </c>
      <c r="H26" s="14" t="s">
        <v>88</v>
      </c>
    </row>
    <row r="27" spans="2:11" ht="12.75">
      <c r="B27" s="76" t="s">
        <v>78</v>
      </c>
      <c r="C27" s="53">
        <f>IF(AND(C22=0,I22=0),"",C22+I22)</f>
        <v>543</v>
      </c>
      <c r="D27" s="73"/>
      <c r="E27" s="58">
        <f>IF(C27="","",INT(C27/16))</f>
        <v>33</v>
      </c>
      <c r="F27" s="59">
        <f>IF(C27="","",MOD(C27,16))</f>
        <v>15</v>
      </c>
      <c r="H27" s="113">
        <f>IF('Recipe Worksheet'!H27="","",'Recipe Worksheet'!H27)</f>
      </c>
      <c r="I27" s="114"/>
      <c r="J27" s="114"/>
      <c r="K27" s="115"/>
    </row>
    <row r="28" spans="2:11" ht="12.75">
      <c r="B28" s="76" t="s">
        <v>79</v>
      </c>
      <c r="C28" s="46">
        <f>IF(F22=0,"",ROUNDDOWN(F22-(F22*C24),1))</f>
        <v>114.5</v>
      </c>
      <c r="D28" s="73"/>
      <c r="E28" s="60">
        <f>IF(C28="","",INT(C28/16))</f>
        <v>7</v>
      </c>
      <c r="F28" s="61">
        <f>IF(C28="","",MOD(C28,16))</f>
        <v>2.5</v>
      </c>
      <c r="H28" s="116"/>
      <c r="I28" s="117"/>
      <c r="J28" s="117"/>
      <c r="K28" s="118"/>
    </row>
    <row r="29" spans="2:11" ht="12.75">
      <c r="B29" s="76" t="s">
        <v>80</v>
      </c>
      <c r="C29" s="46">
        <f>IF(C4="NaOH",IF(C22=0,"",ROUNDDOWN(C$22*(1/3),1)),IF(C22=0,"",ROUNDDOWN(C$28*3,1)))</f>
        <v>343.5</v>
      </c>
      <c r="D29" s="73"/>
      <c r="E29" s="60">
        <f>IF(C29="","",INT(C29/16))</f>
        <v>21</v>
      </c>
      <c r="F29" s="61">
        <f>IF(C29="","",MOD(C29,16))</f>
        <v>7.5</v>
      </c>
      <c r="H29" s="116"/>
      <c r="I29" s="117"/>
      <c r="J29" s="117"/>
      <c r="K29" s="118"/>
    </row>
    <row r="30" spans="2:11" ht="12.75">
      <c r="B30" s="76" t="s">
        <v>81</v>
      </c>
      <c r="C30" s="55">
        <f>IF(C27="","",SUM(C27:C29))</f>
        <v>1001</v>
      </c>
      <c r="D30" s="44"/>
      <c r="E30" s="62">
        <f>IF(C30="","",INT(C30/16))</f>
        <v>62</v>
      </c>
      <c r="F30" s="63">
        <f>IF(C30="","",MOD(C30,16))</f>
        <v>9</v>
      </c>
      <c r="H30" s="116"/>
      <c r="I30" s="117"/>
      <c r="J30" s="117"/>
      <c r="K30" s="118"/>
    </row>
    <row r="31" spans="2:11" ht="12.75">
      <c r="B31" s="76" t="s">
        <v>82</v>
      </c>
      <c r="C31" s="56">
        <f>IF(C27="","",ROUNDDOWN(C27+C28+(C29*0.15),1))</f>
        <v>709</v>
      </c>
      <c r="D31" s="65"/>
      <c r="E31" s="64">
        <f>IF(C31="","",INT(C31/16))</f>
        <v>44</v>
      </c>
      <c r="F31" s="56">
        <f>IF(C31="","",MOD(C31,16))</f>
        <v>5</v>
      </c>
      <c r="H31" s="116"/>
      <c r="I31" s="117"/>
      <c r="J31" s="117"/>
      <c r="K31" s="118"/>
    </row>
    <row r="32" spans="2:11" ht="12.75">
      <c r="B32" s="66"/>
      <c r="C32" s="79"/>
      <c r="D32" s="73"/>
      <c r="E32" s="57"/>
      <c r="F32" s="79"/>
      <c r="H32" s="116"/>
      <c r="I32" s="117"/>
      <c r="J32" s="117"/>
      <c r="K32" s="118"/>
    </row>
    <row r="33" spans="2:11" ht="12.75">
      <c r="B33" s="76" t="s">
        <v>89</v>
      </c>
      <c r="C33" s="79">
        <f>'Recipe Worksheet'!C33</f>
        <v>120</v>
      </c>
      <c r="D33" s="73"/>
      <c r="E33" s="57"/>
      <c r="F33" s="79"/>
      <c r="H33" s="116"/>
      <c r="I33" s="117"/>
      <c r="J33" s="117"/>
      <c r="K33" s="118"/>
    </row>
    <row r="34" spans="2:11" ht="12.75">
      <c r="B34" s="76" t="s">
        <v>90</v>
      </c>
      <c r="C34" s="57">
        <f>IF(NOT(C31=""),TRUNC(C31/C33),"")</f>
        <v>5</v>
      </c>
      <c r="D34" s="73"/>
      <c r="E34" s="74"/>
      <c r="F34" s="75"/>
      <c r="H34" s="116"/>
      <c r="I34" s="117"/>
      <c r="J34" s="117"/>
      <c r="K34" s="118"/>
    </row>
    <row r="35" spans="8:11" ht="12.75">
      <c r="H35" s="119"/>
      <c r="I35" s="120"/>
      <c r="J35" s="120"/>
      <c r="K35" s="121"/>
    </row>
  </sheetData>
  <mergeCells count="4">
    <mergeCell ref="G24:H24"/>
    <mergeCell ref="C2:H2"/>
    <mergeCell ref="H27:K35"/>
    <mergeCell ref="D4:E4"/>
  </mergeCells>
  <conditionalFormatting sqref="C31:F31 C33:C34 B34">
    <cfRule type="expression" priority="1" dxfId="0" stopIfTrue="1">
      <formula>$C$4="KOH"</formula>
    </cfRule>
    <cfRule type="expression" priority="2" dxfId="2" stopIfTrue="1">
      <formula>$C$4="NaOH"</formula>
    </cfRule>
  </conditionalFormatting>
  <conditionalFormatting sqref="B31 B33 I5:J6 H6">
    <cfRule type="expression" priority="3" dxfId="0" stopIfTrue="1">
      <formula>$C$4="KOH"</formula>
    </cfRule>
  </conditionalFormatting>
  <conditionalFormatting sqref="C30 E30:F30">
    <cfRule type="expression" priority="4" dxfId="1" stopIfTrue="1">
      <formula>$C$4="KOH"</formula>
    </cfRule>
  </conditionalFormatting>
  <conditionalFormatting sqref="G5:G6 H5">
    <cfRule type="expression" priority="5" dxfId="0" stopIfTrue="1">
      <formula>$C$4="KOH"</formula>
    </cfRule>
  </conditionalFormatting>
  <printOptions/>
  <pageMargins left="0.75" right="0.75" top="1" bottom="1" header="0.5" footer="0.5"/>
  <pageSetup horizontalDpi="600" verticalDpi="600" orientation="portrait" r:id="rId2"/>
  <legacyDrawing r:id="rId1"/>
</worksheet>
</file>

<file path=xl/worksheets/sheet4.xml><?xml version="1.0" encoding="utf-8"?>
<worksheet xmlns="http://schemas.openxmlformats.org/spreadsheetml/2006/main" xmlns:r="http://schemas.openxmlformats.org/officeDocument/2006/relationships">
  <sheetPr codeName="Sheet4"/>
  <dimension ref="A1:A1"/>
  <sheetViews>
    <sheetView workbookViewId="0" topLeftCell="A1">
      <selection activeCell="A1" sqref="A1"/>
    </sheetView>
  </sheetViews>
  <sheetFormatPr defaultColWidth="9.140625" defaultRowHeight="12.75"/>
  <sheetData/>
  <sheetProtection sheet="1" objects="1" scenarios="1"/>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41"/>
  <dimension ref="A1:A1"/>
  <sheetViews>
    <sheetView workbookViewId="0" topLeftCell="A1">
      <selection activeCell="A32" sqref="A32"/>
    </sheetView>
  </sheetViews>
  <sheetFormatPr defaultColWidth="9.140625" defaultRowHeight="12.75"/>
  <sheetData/>
  <sheetProtection password="C84D" sheet="1" objects="1" scenarios="1"/>
  <printOptions/>
  <pageMargins left="0.75" right="0.75" top="1" bottom="1" header="0.5" footer="0.5"/>
  <pageSetup horizontalDpi="600" verticalDpi="600" orientation="portrait" r:id="rId3"/>
  <legacyDrawing r:id="rId2"/>
  <oleObjects>
    <oleObject progId="Word.Document.8" shapeId="3874324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Rob</cp:lastModifiedBy>
  <cp:lastPrinted>2002-07-16T14:07:53Z</cp:lastPrinted>
  <dcterms:created xsi:type="dcterms:W3CDTF">2000-11-09T16:45:16Z</dcterms:created>
  <dcterms:modified xsi:type="dcterms:W3CDTF">2014-03-28T17:28:25Z</dcterms:modified>
  <cp:category/>
  <cp:version/>
  <cp:contentType/>
  <cp:contentStatus/>
</cp:coreProperties>
</file>